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generapr1.sharepoint.com/sites/RegulatoryTeam/Shared Documents/NEPR-MI-2023-0003 - Annual Performance Test/APT 2024-2025/"/>
    </mc:Choice>
  </mc:AlternateContent>
  <xr:revisionPtr revIDLastSave="1" documentId="8_{DEF9A4C1-7B63-4FC2-98BD-1C7E91E44B55}" xr6:coauthVersionLast="47" xr6:coauthVersionMax="47" xr10:uidLastSave="{C1CF6A62-76D5-413C-B7AC-A3909ACDD57E}"/>
  <bookViews>
    <workbookView minimized="1" xWindow="15" yWindow="15" windowWidth="19185" windowHeight="11265" firstSheet="1" activeTab="3" xr2:uid="{37E767AB-9D39-4B11-922D-430F4A0B5A1F}"/>
  </bookViews>
  <sheets>
    <sheet name="KPI_FY 24-25 (OMC)" sheetId="13" r:id="rId1"/>
    <sheet name="KPI_FY 24-25" sheetId="1" r:id="rId2"/>
    <sheet name="Metrics ACUM" sheetId="8" r:id="rId3"/>
    <sheet name="Metrics ACUM (OMC)" sheetId="12" r:id="rId4"/>
    <sheet name="OMC Hrs"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 i="12" l="1"/>
  <c r="Y80" i="12" l="1"/>
  <c r="Y79" i="12"/>
  <c r="IF21" i="13"/>
  <c r="IF18" i="13"/>
  <c r="IF15" i="13"/>
  <c r="IF12" i="13"/>
  <c r="FS22" i="1"/>
  <c r="FR22" i="1"/>
  <c r="FJ22" i="1"/>
  <c r="FH22" i="1"/>
  <c r="FF22" i="1"/>
  <c r="EW22" i="1"/>
  <c r="EV22" i="1"/>
  <c r="EN22" i="1"/>
  <c r="EL22" i="1"/>
  <c r="EJ22" i="1"/>
  <c r="DE22" i="1"/>
  <c r="DD22" i="1"/>
  <c r="CV22" i="1"/>
  <c r="CT22" i="1"/>
  <c r="CR22" i="1"/>
  <c r="CI22" i="1"/>
  <c r="CH22" i="1"/>
  <c r="BZ22" i="1"/>
  <c r="BX22" i="1"/>
  <c r="BV22" i="1"/>
  <c r="BM22" i="1"/>
  <c r="BL22" i="1"/>
  <c r="BD22" i="1"/>
  <c r="BB22" i="1"/>
  <c r="AZ22" i="1"/>
  <c r="AQ22" i="1"/>
  <c r="AP22" i="1"/>
  <c r="AF22" i="1"/>
  <c r="AD22" i="1"/>
  <c r="U22" i="1"/>
  <c r="T22" i="1"/>
  <c r="L22" i="1"/>
  <c r="J22" i="1"/>
  <c r="H22" i="1"/>
  <c r="F22" i="1"/>
  <c r="E22" i="1"/>
  <c r="D22" i="1"/>
  <c r="C22" i="1"/>
  <c r="AB22" i="1"/>
  <c r="AA22" i="1"/>
  <c r="Z22" i="1"/>
  <c r="Y22" i="1"/>
  <c r="AX22" i="1"/>
  <c r="AW22" i="1"/>
  <c r="AV22" i="1"/>
  <c r="AU22" i="1"/>
  <c r="BT22" i="1"/>
  <c r="BS22" i="1"/>
  <c r="BR22" i="1"/>
  <c r="BQ22" i="1"/>
  <c r="CP22" i="1"/>
  <c r="CO22" i="1"/>
  <c r="CN22" i="1"/>
  <c r="CM22" i="1"/>
  <c r="EH22" i="1"/>
  <c r="EG22" i="1"/>
  <c r="EF22" i="1"/>
  <c r="EE22" i="1"/>
  <c r="FD22" i="1"/>
  <c r="FC22" i="1"/>
  <c r="FB22" i="1"/>
  <c r="FA22" i="1"/>
  <c r="GV22" i="1"/>
  <c r="GU22" i="1"/>
  <c r="GT22" i="1"/>
  <c r="GS22" i="1"/>
  <c r="HY54" i="1"/>
  <c r="HZ54" i="1"/>
  <c r="IA54" i="1"/>
  <c r="IB54" i="1"/>
  <c r="IC54" i="1"/>
  <c r="HY55" i="1"/>
  <c r="HZ55" i="1"/>
  <c r="IA55" i="1"/>
  <c r="IB55" i="1"/>
  <c r="IC55" i="1"/>
  <c r="IA53" i="1"/>
  <c r="HY53" i="1"/>
  <c r="HY51" i="1"/>
  <c r="HZ51" i="1"/>
  <c r="IA51" i="1"/>
  <c r="IB51" i="1"/>
  <c r="IC51" i="1"/>
  <c r="IA50" i="1"/>
  <c r="HY50" i="1"/>
  <c r="HY48" i="1"/>
  <c r="HZ48" i="1"/>
  <c r="IA48" i="1"/>
  <c r="IB48" i="1"/>
  <c r="IC48" i="1"/>
  <c r="IA47" i="1"/>
  <c r="HY47" i="1"/>
  <c r="HY45" i="1"/>
  <c r="HZ45" i="1"/>
  <c r="IA45" i="1"/>
  <c r="IB45" i="1"/>
  <c r="IC45" i="1"/>
  <c r="IA44" i="1"/>
  <c r="HY44" i="1"/>
  <c r="HY42" i="1"/>
  <c r="HZ42" i="1"/>
  <c r="IA42" i="1"/>
  <c r="IB42" i="1"/>
  <c r="IC42" i="1"/>
  <c r="IA41" i="1"/>
  <c r="HY41" i="1"/>
  <c r="HY39" i="1"/>
  <c r="HZ39" i="1"/>
  <c r="IA39" i="1"/>
  <c r="IB39" i="1"/>
  <c r="IC39" i="1"/>
  <c r="IA38" i="1"/>
  <c r="HY38" i="1"/>
  <c r="HY35" i="1"/>
  <c r="HZ35" i="1"/>
  <c r="IA35" i="1"/>
  <c r="IB35" i="1"/>
  <c r="IC35" i="1"/>
  <c r="HY36" i="1"/>
  <c r="HZ36" i="1"/>
  <c r="IA36" i="1"/>
  <c r="IB36" i="1"/>
  <c r="IC36" i="1"/>
  <c r="IA34" i="1"/>
  <c r="HY34" i="1"/>
  <c r="IA24" i="1"/>
  <c r="IA25" i="1"/>
  <c r="IA26" i="1"/>
  <c r="IA27" i="1"/>
  <c r="IA28" i="1"/>
  <c r="IA29" i="1"/>
  <c r="IA30" i="1"/>
  <c r="IA31" i="1"/>
  <c r="IA32" i="1"/>
  <c r="IA23" i="1"/>
  <c r="IA58" i="1"/>
  <c r="IA57" i="1"/>
  <c r="HY58" i="1"/>
  <c r="HY57" i="1"/>
  <c r="IA61" i="1"/>
  <c r="IA62" i="1"/>
  <c r="IA63" i="1"/>
  <c r="IA60" i="1"/>
  <c r="HY61" i="1"/>
  <c r="HY62" i="1"/>
  <c r="HY63" i="1"/>
  <c r="HY60" i="1"/>
  <c r="EQ39" i="1"/>
  <c r="EQ38" i="1"/>
  <c r="EQ42" i="1"/>
  <c r="EQ41" i="1"/>
  <c r="EQ45" i="1"/>
  <c r="EQ44" i="1"/>
  <c r="EQ48" i="1"/>
  <c r="EQ47" i="1"/>
  <c r="EQ51" i="1"/>
  <c r="EQ50" i="1"/>
  <c r="EQ58" i="1"/>
  <c r="EQ57" i="1"/>
  <c r="EQ61" i="1"/>
  <c r="EQ62" i="1"/>
  <c r="EQ63" i="1"/>
  <c r="EQ60" i="1"/>
  <c r="EP58" i="1"/>
  <c r="EP57" i="1"/>
  <c r="EO58" i="1"/>
  <c r="EO57" i="1"/>
  <c r="EQ54" i="1"/>
  <c r="EQ55" i="1"/>
  <c r="EQ53" i="1"/>
  <c r="EP54" i="1"/>
  <c r="EP55" i="1"/>
  <c r="EP53" i="1"/>
  <c r="EO54" i="1"/>
  <c r="EO55" i="1"/>
  <c r="EO53" i="1"/>
  <c r="EP50" i="1"/>
  <c r="EP51" i="1"/>
  <c r="EO51" i="1"/>
  <c r="EO50" i="1"/>
  <c r="EP48" i="1"/>
  <c r="EP47" i="1"/>
  <c r="EO48" i="1"/>
  <c r="EO47" i="1"/>
  <c r="EP45" i="1"/>
  <c r="EP44" i="1"/>
  <c r="EO45" i="1"/>
  <c r="EO44" i="1"/>
  <c r="EP61" i="1"/>
  <c r="EP62" i="1"/>
  <c r="EP63" i="1"/>
  <c r="EP60" i="1"/>
  <c r="EO61" i="1"/>
  <c r="EO62" i="1"/>
  <c r="EO63" i="1"/>
  <c r="EO60" i="1"/>
  <c r="GO22" i="1"/>
  <c r="GN22" i="1"/>
  <c r="GF22" i="1"/>
  <c r="GD22" i="1"/>
  <c r="GB22" i="1"/>
  <c r="FX22" i="1"/>
  <c r="FY22" i="1"/>
  <c r="FZ22" i="1"/>
  <c r="FW22" i="1"/>
  <c r="IC38" i="1"/>
  <c r="IC34" i="1"/>
  <c r="IC24" i="1"/>
  <c r="IC25" i="1"/>
  <c r="IC26" i="1"/>
  <c r="IC27" i="1"/>
  <c r="IC28" i="1"/>
  <c r="IC29" i="1"/>
  <c r="IC30" i="1"/>
  <c r="IC31" i="1"/>
  <c r="IC32" i="1"/>
  <c r="IC23" i="1"/>
  <c r="IC41" i="1"/>
  <c r="IC44" i="1"/>
  <c r="IC47" i="1"/>
  <c r="IC50" i="1"/>
  <c r="IC53" i="1"/>
  <c r="IC58" i="1"/>
  <c r="IC57" i="1"/>
  <c r="IC61" i="1"/>
  <c r="IC62" i="1"/>
  <c r="IC63" i="1"/>
  <c r="IC60" i="1"/>
  <c r="R56" i="1"/>
  <c r="R46" i="1"/>
  <c r="R49" i="1"/>
  <c r="R52" i="1"/>
  <c r="R59" i="1"/>
  <c r="R64" i="1"/>
  <c r="R79" i="1"/>
  <c r="R43" i="1"/>
  <c r="R40" i="1"/>
  <c r="R37" i="1"/>
  <c r="R33" i="1"/>
  <c r="R80" i="1" s="1"/>
  <c r="R21" i="1"/>
  <c r="R18" i="1"/>
  <c r="R15" i="1"/>
  <c r="R12" i="1"/>
  <c r="AN12" i="1"/>
  <c r="AN79" i="1"/>
  <c r="AN64" i="1"/>
  <c r="AN59" i="1"/>
  <c r="AN56" i="1"/>
  <c r="AN52" i="1"/>
  <c r="AN49" i="1"/>
  <c r="AN46" i="1"/>
  <c r="AN43" i="1"/>
  <c r="AN40" i="1"/>
  <c r="AN37" i="1"/>
  <c r="AN33" i="1"/>
  <c r="AN80" i="1" s="1"/>
  <c r="AN21" i="1"/>
  <c r="AN18" i="1"/>
  <c r="AN15" i="1"/>
  <c r="AN22" i="1" s="1"/>
  <c r="AN81" i="1" s="1"/>
  <c r="HH37" i="1"/>
  <c r="HH40" i="1"/>
  <c r="HH43" i="1"/>
  <c r="HH46" i="1"/>
  <c r="HH49" i="1"/>
  <c r="HH52" i="1"/>
  <c r="HH56" i="1"/>
  <c r="HH59" i="1"/>
  <c r="HH64" i="1"/>
  <c r="HH79" i="1"/>
  <c r="HH33" i="1"/>
  <c r="HH80" i="1" s="1"/>
  <c r="HH12" i="1"/>
  <c r="HH15" i="1"/>
  <c r="HH18" i="1"/>
  <c r="HH21" i="1"/>
  <c r="ID37" i="1"/>
  <c r="ID40" i="1"/>
  <c r="ID43" i="1"/>
  <c r="ID46" i="1"/>
  <c r="ID49" i="1"/>
  <c r="ID52" i="1"/>
  <c r="ID56" i="1"/>
  <c r="ID59" i="1"/>
  <c r="ID64" i="1"/>
  <c r="ID79" i="1"/>
  <c r="ID33" i="1"/>
  <c r="ID80" i="1" s="1"/>
  <c r="ID15" i="1"/>
  <c r="ID18" i="1"/>
  <c r="ID21" i="1"/>
  <c r="ID12" i="1"/>
  <c r="IZ37" i="1"/>
  <c r="IZ40" i="1"/>
  <c r="IZ43" i="1"/>
  <c r="IZ46" i="1"/>
  <c r="IZ49" i="1"/>
  <c r="IZ52" i="1"/>
  <c r="IZ56" i="1"/>
  <c r="IZ59" i="1"/>
  <c r="IZ64" i="1"/>
  <c r="IZ79" i="1"/>
  <c r="IZ33" i="1"/>
  <c r="IZ80" i="1" s="1"/>
  <c r="IZ21" i="1"/>
  <c r="IZ18" i="1"/>
  <c r="IZ15" i="1"/>
  <c r="IZ12" i="1"/>
  <c r="O41" i="12"/>
  <c r="HP24" i="13"/>
  <c r="HE11" i="1"/>
  <c r="HE10" i="1"/>
  <c r="HE9" i="1"/>
  <c r="HE8" i="1"/>
  <c r="HE7" i="1"/>
  <c r="HE6" i="1"/>
  <c r="HE26" i="1"/>
  <c r="HE27" i="1"/>
  <c r="HE28" i="1"/>
  <c r="HE29" i="1"/>
  <c r="HE30" i="1"/>
  <c r="HE31" i="1"/>
  <c r="HE32" i="1"/>
  <c r="HE25" i="1"/>
  <c r="HE24" i="1"/>
  <c r="HE23" i="1"/>
  <c r="HE55" i="1"/>
  <c r="HE36" i="1"/>
  <c r="HE35" i="1"/>
  <c r="HE34" i="1"/>
  <c r="HE39" i="1"/>
  <c r="HE38" i="1"/>
  <c r="HE42" i="1"/>
  <c r="HE41" i="1"/>
  <c r="HE45" i="1"/>
  <c r="HE44" i="1"/>
  <c r="HE48" i="1"/>
  <c r="HE47" i="1"/>
  <c r="HE51" i="1"/>
  <c r="HE50" i="1"/>
  <c r="HE54" i="1"/>
  <c r="HE53" i="1"/>
  <c r="HE58" i="1"/>
  <c r="HE57" i="1"/>
  <c r="HE66" i="1"/>
  <c r="HE67" i="1"/>
  <c r="HE68" i="1"/>
  <c r="HE69" i="1"/>
  <c r="HE70" i="1"/>
  <c r="HE71" i="1"/>
  <c r="HE72" i="1"/>
  <c r="HE73" i="1"/>
  <c r="HE74" i="1"/>
  <c r="HE75" i="1"/>
  <c r="HE76" i="1"/>
  <c r="HE77" i="1"/>
  <c r="HE78" i="1"/>
  <c r="HE65" i="1"/>
  <c r="IC66" i="1"/>
  <c r="IC67" i="1"/>
  <c r="IC68" i="1"/>
  <c r="IC69" i="1"/>
  <c r="IC70" i="1"/>
  <c r="IC71" i="1"/>
  <c r="IC72" i="1"/>
  <c r="IC73" i="1"/>
  <c r="IC74" i="1"/>
  <c r="IC75" i="1"/>
  <c r="IC76" i="1"/>
  <c r="IC77" i="1"/>
  <c r="IC78" i="1"/>
  <c r="IC65" i="1"/>
  <c r="IA66" i="1"/>
  <c r="IA67" i="1"/>
  <c r="IA68" i="1"/>
  <c r="IA69" i="1"/>
  <c r="IA70" i="1"/>
  <c r="IA71" i="1"/>
  <c r="IA72" i="1"/>
  <c r="IA73" i="1"/>
  <c r="IA74" i="1"/>
  <c r="IA75" i="1"/>
  <c r="IA76" i="1"/>
  <c r="IA77" i="1"/>
  <c r="IA78" i="1"/>
  <c r="IA65" i="1"/>
  <c r="IX42" i="1"/>
  <c r="IX41" i="1"/>
  <c r="IU55" i="1"/>
  <c r="IU42" i="1"/>
  <c r="IU41" i="1"/>
  <c r="IU45" i="1"/>
  <c r="IU44" i="1"/>
  <c r="IU48" i="1"/>
  <c r="IU47" i="1"/>
  <c r="IU51" i="1"/>
  <c r="IU50" i="1"/>
  <c r="IU54" i="1"/>
  <c r="IU53" i="1"/>
  <c r="IU58" i="1"/>
  <c r="IU57" i="1"/>
  <c r="IX61" i="1"/>
  <c r="IY61" i="1"/>
  <c r="IX62" i="1"/>
  <c r="IY62" i="1"/>
  <c r="IX63" i="1"/>
  <c r="IY63" i="1"/>
  <c r="IU60" i="1"/>
  <c r="IY71" i="1"/>
  <c r="IY72" i="1"/>
  <c r="IY73" i="1"/>
  <c r="IY74" i="1"/>
  <c r="IY75" i="1"/>
  <c r="IY76" i="1"/>
  <c r="IY77" i="1"/>
  <c r="IY78" i="1"/>
  <c r="IY70" i="1"/>
  <c r="IY69" i="1"/>
  <c r="IY68" i="1"/>
  <c r="IY67" i="1"/>
  <c r="IY66" i="1"/>
  <c r="IY65" i="1"/>
  <c r="IY60" i="1"/>
  <c r="IY58" i="1"/>
  <c r="IY57" i="1"/>
  <c r="IY55" i="1"/>
  <c r="IY54" i="1"/>
  <c r="IY53" i="1"/>
  <c r="IY51" i="1"/>
  <c r="IY50" i="1"/>
  <c r="IY48" i="1"/>
  <c r="IY47" i="1"/>
  <c r="IY45" i="1"/>
  <c r="IY44" i="1"/>
  <c r="BC36" i="1"/>
  <c r="BC35" i="1"/>
  <c r="BC34" i="1"/>
  <c r="BA36" i="1"/>
  <c r="BA35" i="1"/>
  <c r="BA34" i="1"/>
  <c r="BC39" i="1"/>
  <c r="BC38" i="1"/>
  <c r="BA39" i="1"/>
  <c r="BA38" i="1"/>
  <c r="BC42" i="1"/>
  <c r="BC41" i="1"/>
  <c r="BA42" i="1"/>
  <c r="BA41" i="1"/>
  <c r="BC45" i="1"/>
  <c r="BC44" i="1"/>
  <c r="BA45" i="1"/>
  <c r="BA44" i="1"/>
  <c r="BC48" i="1"/>
  <c r="BC47" i="1"/>
  <c r="BA48" i="1"/>
  <c r="BA47" i="1"/>
  <c r="BC51" i="1"/>
  <c r="BC50" i="1"/>
  <c r="BA51" i="1"/>
  <c r="BA50" i="1"/>
  <c r="BC55" i="1"/>
  <c r="BC54" i="1"/>
  <c r="BC53" i="1"/>
  <c r="BA55" i="1"/>
  <c r="BA54" i="1"/>
  <c r="BA53" i="1"/>
  <c r="BC58" i="1"/>
  <c r="BC57" i="1"/>
  <c r="BA58" i="1"/>
  <c r="BA57" i="1"/>
  <c r="BC63" i="1"/>
  <c r="BC61" i="1"/>
  <c r="BC60" i="1"/>
  <c r="BA63" i="1"/>
  <c r="BA62" i="1"/>
  <c r="BA61" i="1"/>
  <c r="BA60" i="1"/>
  <c r="AY58" i="1"/>
  <c r="AY57" i="1"/>
  <c r="AY51" i="1"/>
  <c r="AY50" i="1"/>
  <c r="AY48" i="1"/>
  <c r="AY47" i="1"/>
  <c r="AY45" i="1"/>
  <c r="AY44" i="1"/>
  <c r="AY42" i="1"/>
  <c r="AY41" i="1"/>
  <c r="AY39" i="1"/>
  <c r="AY38" i="1"/>
  <c r="AG42" i="1"/>
  <c r="AG41" i="1"/>
  <c r="AE42" i="1"/>
  <c r="AE41" i="1"/>
  <c r="AG45" i="1"/>
  <c r="AG44" i="1"/>
  <c r="AE45" i="1"/>
  <c r="AE44" i="1"/>
  <c r="AG48" i="1"/>
  <c r="AG47" i="1"/>
  <c r="AE48" i="1"/>
  <c r="AE47" i="1"/>
  <c r="AG51" i="1"/>
  <c r="AG50" i="1"/>
  <c r="AE51" i="1"/>
  <c r="AE50" i="1"/>
  <c r="AG58" i="1"/>
  <c r="AG57" i="1"/>
  <c r="AG55" i="1"/>
  <c r="AG54" i="1"/>
  <c r="AG53" i="1"/>
  <c r="AE55" i="1"/>
  <c r="AE54" i="1"/>
  <c r="AE53" i="1"/>
  <c r="AE58" i="1"/>
  <c r="AE57" i="1"/>
  <c r="AC58" i="1"/>
  <c r="AC57" i="1"/>
  <c r="AC55" i="1"/>
  <c r="AC54" i="1"/>
  <c r="AC53" i="1"/>
  <c r="AC51" i="1"/>
  <c r="AC50" i="1"/>
  <c r="AC48" i="1"/>
  <c r="AC47" i="1"/>
  <c r="AC45" i="1"/>
  <c r="AC44" i="1"/>
  <c r="AC42" i="1"/>
  <c r="AC41" i="1"/>
  <c r="AG39" i="1"/>
  <c r="AG38" i="1"/>
  <c r="AE39" i="1"/>
  <c r="AE38" i="1"/>
  <c r="AG36" i="1"/>
  <c r="AG35" i="1"/>
  <c r="AG34" i="1"/>
  <c r="AG61" i="1"/>
  <c r="AG60" i="1"/>
  <c r="AE63" i="1"/>
  <c r="AE62" i="1"/>
  <c r="AC60" i="1"/>
  <c r="AC66" i="1"/>
  <c r="AC67" i="1"/>
  <c r="AC68" i="1"/>
  <c r="AC69" i="1"/>
  <c r="AC70" i="1"/>
  <c r="AC71" i="1"/>
  <c r="AC72" i="1"/>
  <c r="AC73" i="1"/>
  <c r="AC74" i="1"/>
  <c r="AC75" i="1"/>
  <c r="AC76" i="1"/>
  <c r="AC77" i="1"/>
  <c r="AC78" i="1"/>
  <c r="AC65" i="1"/>
  <c r="K36" i="1"/>
  <c r="K35" i="1"/>
  <c r="K34" i="1"/>
  <c r="I36" i="1"/>
  <c r="K39" i="1"/>
  <c r="K38" i="1"/>
  <c r="K42" i="1"/>
  <c r="K41" i="1"/>
  <c r="K45" i="1"/>
  <c r="K44" i="1"/>
  <c r="K48" i="1"/>
  <c r="K47" i="1"/>
  <c r="K51" i="1"/>
  <c r="K50" i="1"/>
  <c r="K55" i="1"/>
  <c r="K54" i="1"/>
  <c r="K53" i="1"/>
  <c r="I55" i="1"/>
  <c r="K58" i="1"/>
  <c r="K57" i="1"/>
  <c r="I67" i="1"/>
  <c r="I68" i="1"/>
  <c r="I69" i="1"/>
  <c r="I70" i="1"/>
  <c r="I71" i="1"/>
  <c r="I72" i="1"/>
  <c r="I73" i="1"/>
  <c r="I74" i="1"/>
  <c r="I75" i="1"/>
  <c r="I76" i="1"/>
  <c r="I77" i="1"/>
  <c r="I78" i="1"/>
  <c r="I66" i="1"/>
  <c r="I65" i="1"/>
  <c r="I63" i="1"/>
  <c r="I62" i="1"/>
  <c r="I61" i="1"/>
  <c r="I60" i="1"/>
  <c r="I58" i="1"/>
  <c r="I57" i="1"/>
  <c r="I54" i="1"/>
  <c r="I53" i="1"/>
  <c r="I51" i="1"/>
  <c r="I50" i="1"/>
  <c r="I48" i="1"/>
  <c r="I47" i="1"/>
  <c r="I45" i="1"/>
  <c r="I44" i="1"/>
  <c r="I42" i="1"/>
  <c r="I41" i="1"/>
  <c r="I39" i="1"/>
  <c r="I38" i="1"/>
  <c r="I35" i="1"/>
  <c r="I34" i="1"/>
  <c r="G36" i="1"/>
  <c r="G55" i="1"/>
  <c r="G58" i="1"/>
  <c r="G57" i="1"/>
  <c r="G54" i="1"/>
  <c r="G53" i="1"/>
  <c r="G51" i="1"/>
  <c r="G50" i="1"/>
  <c r="G48" i="1"/>
  <c r="G47" i="1"/>
  <c r="G45" i="1"/>
  <c r="G44" i="1"/>
  <c r="G42" i="1"/>
  <c r="G41" i="1"/>
  <c r="G39" i="1"/>
  <c r="G38" i="1"/>
  <c r="G35" i="1"/>
  <c r="G34" i="1"/>
  <c r="K62" i="1"/>
  <c r="G61" i="1"/>
  <c r="G60" i="1"/>
  <c r="K66" i="1"/>
  <c r="K67" i="1"/>
  <c r="K68" i="1"/>
  <c r="K69" i="1"/>
  <c r="K70" i="1"/>
  <c r="K71" i="1"/>
  <c r="K72" i="1"/>
  <c r="K73" i="1"/>
  <c r="K74" i="1"/>
  <c r="K75" i="1"/>
  <c r="K76" i="1"/>
  <c r="K77" i="1"/>
  <c r="K78" i="1"/>
  <c r="K65" i="1"/>
  <c r="G66" i="1"/>
  <c r="G67" i="1"/>
  <c r="G68" i="1"/>
  <c r="G69" i="1"/>
  <c r="G70" i="1"/>
  <c r="G71" i="1"/>
  <c r="G72" i="1"/>
  <c r="G73" i="1"/>
  <c r="G74" i="1"/>
  <c r="G75" i="1"/>
  <c r="G76" i="1"/>
  <c r="G77" i="1"/>
  <c r="G78" i="1"/>
  <c r="G65" i="1"/>
  <c r="BC78" i="1"/>
  <c r="BC77" i="1"/>
  <c r="BC76" i="1"/>
  <c r="BC75" i="1"/>
  <c r="BC74" i="1"/>
  <c r="BC73" i="1"/>
  <c r="BC72" i="1"/>
  <c r="BC71" i="1"/>
  <c r="BC70" i="1"/>
  <c r="BC69" i="1"/>
  <c r="BC68" i="1"/>
  <c r="BC67" i="1"/>
  <c r="BC66" i="1"/>
  <c r="BC65" i="1"/>
  <c r="BA78" i="1"/>
  <c r="BA77" i="1"/>
  <c r="BA76" i="1"/>
  <c r="BA75" i="1"/>
  <c r="BA74" i="1"/>
  <c r="BA73" i="1"/>
  <c r="BA72" i="1"/>
  <c r="BA71" i="1"/>
  <c r="BA70" i="1"/>
  <c r="BA69" i="1"/>
  <c r="BA68" i="1"/>
  <c r="BA67" i="1"/>
  <c r="BA66" i="1"/>
  <c r="BA65" i="1"/>
  <c r="AY69" i="1"/>
  <c r="AY70" i="1"/>
  <c r="AY71" i="1"/>
  <c r="AY72" i="1"/>
  <c r="AY73" i="1"/>
  <c r="AY74" i="1"/>
  <c r="AY75" i="1"/>
  <c r="AY76" i="1"/>
  <c r="AY77" i="1"/>
  <c r="AY78" i="1"/>
  <c r="AY68" i="1"/>
  <c r="AY67" i="1"/>
  <c r="AY66" i="1"/>
  <c r="AY65" i="1"/>
  <c r="AY60" i="1"/>
  <c r="AY55" i="1"/>
  <c r="AY54" i="1"/>
  <c r="AY53" i="1"/>
  <c r="AY36" i="1"/>
  <c r="AY35" i="1"/>
  <c r="AY34" i="1"/>
  <c r="BY78" i="1"/>
  <c r="BY77" i="1"/>
  <c r="BY76" i="1"/>
  <c r="BY75" i="1"/>
  <c r="BY74" i="1"/>
  <c r="BY73" i="1"/>
  <c r="BY72" i="1"/>
  <c r="BY71" i="1"/>
  <c r="BY70" i="1"/>
  <c r="BY69" i="1"/>
  <c r="BY68" i="1"/>
  <c r="BY67" i="1"/>
  <c r="BY66" i="1"/>
  <c r="BY65" i="1"/>
  <c r="BW78" i="1"/>
  <c r="BW77" i="1"/>
  <c r="BW76" i="1"/>
  <c r="BW75" i="1"/>
  <c r="BW74" i="1"/>
  <c r="BW73" i="1"/>
  <c r="BW72" i="1"/>
  <c r="BW71" i="1"/>
  <c r="BW70" i="1"/>
  <c r="BW69" i="1"/>
  <c r="BW68" i="1"/>
  <c r="BW67" i="1"/>
  <c r="BW66" i="1"/>
  <c r="BW65" i="1"/>
  <c r="BY63" i="1"/>
  <c r="BY62" i="1"/>
  <c r="BY61" i="1"/>
  <c r="BY60" i="1"/>
  <c r="BW63" i="1"/>
  <c r="BW62" i="1"/>
  <c r="BW61" i="1"/>
  <c r="BW60" i="1"/>
  <c r="BY58" i="1"/>
  <c r="BY57" i="1"/>
  <c r="BW58" i="1"/>
  <c r="BW57" i="1"/>
  <c r="BY55" i="1"/>
  <c r="BY54" i="1"/>
  <c r="BY53" i="1"/>
  <c r="BW55" i="1"/>
  <c r="BW54" i="1"/>
  <c r="BW53" i="1"/>
  <c r="BY51" i="1"/>
  <c r="BY50" i="1"/>
  <c r="BW51" i="1"/>
  <c r="BW50" i="1"/>
  <c r="BY48" i="1"/>
  <c r="BY47" i="1"/>
  <c r="BW48" i="1"/>
  <c r="BW47" i="1"/>
  <c r="BY45" i="1"/>
  <c r="BY44" i="1"/>
  <c r="BW45" i="1"/>
  <c r="BW44" i="1"/>
  <c r="BY36" i="1"/>
  <c r="BY35" i="1"/>
  <c r="BY34" i="1"/>
  <c r="BW36" i="1"/>
  <c r="BW35" i="1"/>
  <c r="BW34" i="1"/>
  <c r="BG69" i="1"/>
  <c r="BH69" i="1"/>
  <c r="BI69" i="1"/>
  <c r="BG70" i="1"/>
  <c r="BH70" i="1"/>
  <c r="BI70" i="1"/>
  <c r="BG71" i="1"/>
  <c r="BH71" i="1"/>
  <c r="BI71" i="1"/>
  <c r="BG72" i="1"/>
  <c r="BH72" i="1"/>
  <c r="BI72" i="1"/>
  <c r="BG73" i="1"/>
  <c r="BH73" i="1"/>
  <c r="BI73" i="1"/>
  <c r="BG74" i="1"/>
  <c r="BH74" i="1"/>
  <c r="BI74" i="1"/>
  <c r="BG75" i="1"/>
  <c r="BH75" i="1"/>
  <c r="BI75" i="1"/>
  <c r="BG76" i="1"/>
  <c r="BH76" i="1"/>
  <c r="BI76" i="1"/>
  <c r="BG77" i="1"/>
  <c r="BH77" i="1"/>
  <c r="BI77" i="1"/>
  <c r="BG78" i="1"/>
  <c r="BH78" i="1"/>
  <c r="BI78" i="1"/>
  <c r="BI68" i="1"/>
  <c r="BH68" i="1"/>
  <c r="BG68" i="1"/>
  <c r="BI67" i="1"/>
  <c r="BH67" i="1"/>
  <c r="BG67" i="1"/>
  <c r="BI66" i="1"/>
  <c r="BH66" i="1"/>
  <c r="BG66" i="1"/>
  <c r="BI65" i="1"/>
  <c r="BH65" i="1"/>
  <c r="BG65" i="1"/>
  <c r="BE55" i="1"/>
  <c r="BF55" i="1"/>
  <c r="BG55" i="1"/>
  <c r="BH55" i="1"/>
  <c r="BI55" i="1"/>
  <c r="BI54" i="1"/>
  <c r="BH54" i="1"/>
  <c r="BG54" i="1"/>
  <c r="BF54" i="1"/>
  <c r="BE54" i="1"/>
  <c r="BI53" i="1"/>
  <c r="BH53" i="1"/>
  <c r="BG53" i="1"/>
  <c r="BF53" i="1"/>
  <c r="BE53" i="1"/>
  <c r="BI63" i="1"/>
  <c r="BH63" i="1"/>
  <c r="BI62" i="1"/>
  <c r="BH62" i="1"/>
  <c r="BI61" i="1"/>
  <c r="BH61" i="1"/>
  <c r="BI60" i="1"/>
  <c r="BH60" i="1"/>
  <c r="BI58" i="1"/>
  <c r="BH58" i="1"/>
  <c r="BG58" i="1"/>
  <c r="BF58" i="1"/>
  <c r="BE58" i="1"/>
  <c r="BI57" i="1"/>
  <c r="BH57" i="1"/>
  <c r="BG57" i="1"/>
  <c r="BF57" i="1"/>
  <c r="BE57" i="1"/>
  <c r="BI51" i="1"/>
  <c r="BH51" i="1"/>
  <c r="BG51" i="1"/>
  <c r="BF51" i="1"/>
  <c r="BE51" i="1"/>
  <c r="BI50" i="1"/>
  <c r="BH50" i="1"/>
  <c r="BG50" i="1"/>
  <c r="BF50" i="1"/>
  <c r="BE50" i="1"/>
  <c r="BI48" i="1"/>
  <c r="BH48" i="1"/>
  <c r="BG48" i="1"/>
  <c r="BF48" i="1"/>
  <c r="BE48" i="1"/>
  <c r="BI47" i="1"/>
  <c r="BH47" i="1"/>
  <c r="BG47" i="1"/>
  <c r="BF47" i="1"/>
  <c r="BE47" i="1"/>
  <c r="BI45" i="1"/>
  <c r="BH45" i="1"/>
  <c r="BG45" i="1"/>
  <c r="BF45" i="1"/>
  <c r="BE45" i="1"/>
  <c r="BI44" i="1"/>
  <c r="BH44" i="1"/>
  <c r="BG44" i="1"/>
  <c r="BF44" i="1"/>
  <c r="BE44" i="1"/>
  <c r="BI42" i="1"/>
  <c r="BH42" i="1"/>
  <c r="BG42" i="1"/>
  <c r="BF42" i="1"/>
  <c r="BE42" i="1"/>
  <c r="BI41" i="1"/>
  <c r="BH41" i="1"/>
  <c r="BG41" i="1"/>
  <c r="BF41" i="1"/>
  <c r="BE41" i="1"/>
  <c r="BI39" i="1"/>
  <c r="BH39" i="1"/>
  <c r="BG39" i="1"/>
  <c r="BF39" i="1"/>
  <c r="BE39" i="1"/>
  <c r="BI38" i="1"/>
  <c r="BH38" i="1"/>
  <c r="BG38" i="1"/>
  <c r="BF38" i="1"/>
  <c r="BE38" i="1"/>
  <c r="BI36" i="1"/>
  <c r="BH36" i="1"/>
  <c r="BG36" i="1"/>
  <c r="BF36" i="1"/>
  <c r="BE36" i="1"/>
  <c r="BI35" i="1"/>
  <c r="BH35" i="1"/>
  <c r="BG35" i="1"/>
  <c r="BF35" i="1"/>
  <c r="BE35" i="1"/>
  <c r="BI34" i="1"/>
  <c r="BH34" i="1"/>
  <c r="BG34" i="1"/>
  <c r="BF34" i="1"/>
  <c r="BE34" i="1"/>
  <c r="BY42" i="1"/>
  <c r="BY41" i="1"/>
  <c r="BW42" i="1"/>
  <c r="BW41" i="1"/>
  <c r="BY39" i="1"/>
  <c r="BY38" i="1"/>
  <c r="BW39" i="1"/>
  <c r="BW38" i="1"/>
  <c r="BY32" i="1"/>
  <c r="BY31" i="1"/>
  <c r="BY30" i="1"/>
  <c r="BY29" i="1"/>
  <c r="BY28" i="1"/>
  <c r="BY27" i="1"/>
  <c r="BY26" i="1"/>
  <c r="BY25" i="1"/>
  <c r="BY24" i="1"/>
  <c r="BY23" i="1"/>
  <c r="BW32" i="1"/>
  <c r="BW31" i="1"/>
  <c r="BW30" i="1"/>
  <c r="BW29" i="1"/>
  <c r="BW28" i="1"/>
  <c r="BW27" i="1"/>
  <c r="BW26" i="1"/>
  <c r="BW25" i="1"/>
  <c r="BW24" i="1"/>
  <c r="BW23" i="1"/>
  <c r="BU58" i="1"/>
  <c r="BU57" i="1"/>
  <c r="BU51" i="1"/>
  <c r="BU50" i="1"/>
  <c r="BU48" i="1"/>
  <c r="BU47" i="1"/>
  <c r="BU45" i="1"/>
  <c r="BU44" i="1"/>
  <c r="BU42" i="1"/>
  <c r="BU41" i="1"/>
  <c r="BU39" i="1"/>
  <c r="BU38" i="1"/>
  <c r="BU69" i="1"/>
  <c r="BU70" i="1"/>
  <c r="BU71" i="1"/>
  <c r="BU72" i="1"/>
  <c r="BU73" i="1"/>
  <c r="BU74" i="1"/>
  <c r="BU75" i="1"/>
  <c r="BU76" i="1"/>
  <c r="BU77" i="1"/>
  <c r="BU78" i="1"/>
  <c r="BU68" i="1"/>
  <c r="BU67" i="1"/>
  <c r="BU66" i="1"/>
  <c r="BU65" i="1"/>
  <c r="BU63" i="1"/>
  <c r="BU62" i="1"/>
  <c r="BU61" i="1"/>
  <c r="BU60" i="1"/>
  <c r="BU55" i="1"/>
  <c r="BU54" i="1"/>
  <c r="BU53" i="1"/>
  <c r="BU36" i="1"/>
  <c r="BU35" i="1"/>
  <c r="BU34" i="1"/>
  <c r="BU24" i="1"/>
  <c r="BU25" i="1"/>
  <c r="BU26" i="1"/>
  <c r="BU27" i="1"/>
  <c r="BU28" i="1"/>
  <c r="BU29" i="1"/>
  <c r="BU30" i="1"/>
  <c r="BU31" i="1"/>
  <c r="BU32" i="1"/>
  <c r="BU23" i="1"/>
  <c r="CE39" i="1"/>
  <c r="CD39" i="1"/>
  <c r="CC39" i="1"/>
  <c r="CE38" i="1"/>
  <c r="CD38" i="1"/>
  <c r="CC38" i="1"/>
  <c r="CB38" i="1"/>
  <c r="CA38" i="1"/>
  <c r="CE42" i="1"/>
  <c r="CD42" i="1"/>
  <c r="CC42" i="1"/>
  <c r="CB42" i="1"/>
  <c r="CA42" i="1"/>
  <c r="CE41" i="1"/>
  <c r="CD41" i="1"/>
  <c r="CC41" i="1"/>
  <c r="CB41" i="1"/>
  <c r="CA41" i="1"/>
  <c r="CE45" i="1"/>
  <c r="CD45" i="1"/>
  <c r="CC45" i="1"/>
  <c r="CB45" i="1"/>
  <c r="CA45" i="1"/>
  <c r="CE44" i="1"/>
  <c r="CD44" i="1"/>
  <c r="CC44" i="1"/>
  <c r="CB44" i="1"/>
  <c r="CA44" i="1"/>
  <c r="CE48" i="1"/>
  <c r="CD48" i="1"/>
  <c r="CC48" i="1"/>
  <c r="CB48" i="1"/>
  <c r="CA48" i="1"/>
  <c r="CE47" i="1"/>
  <c r="CD47" i="1"/>
  <c r="CC47" i="1"/>
  <c r="CB47" i="1"/>
  <c r="CA47" i="1"/>
  <c r="CE51" i="1"/>
  <c r="CD51" i="1"/>
  <c r="CC51" i="1"/>
  <c r="CB51" i="1"/>
  <c r="CA51" i="1"/>
  <c r="CE50" i="1"/>
  <c r="CD50" i="1"/>
  <c r="CC50" i="1"/>
  <c r="CB50" i="1"/>
  <c r="CA50" i="1"/>
  <c r="CE58" i="1"/>
  <c r="CD58" i="1"/>
  <c r="CC58" i="1"/>
  <c r="CB58" i="1"/>
  <c r="CA58" i="1"/>
  <c r="CE57" i="1"/>
  <c r="CD57" i="1"/>
  <c r="CC57" i="1"/>
  <c r="CB57" i="1"/>
  <c r="CA57" i="1"/>
  <c r="CC68" i="1"/>
  <c r="CD68" i="1"/>
  <c r="CE68" i="1"/>
  <c r="CC69" i="1"/>
  <c r="CD69" i="1"/>
  <c r="CE69" i="1"/>
  <c r="CC70" i="1"/>
  <c r="CD70" i="1"/>
  <c r="CE70" i="1"/>
  <c r="CC71" i="1"/>
  <c r="CD71" i="1"/>
  <c r="CE71" i="1"/>
  <c r="CC72" i="1"/>
  <c r="CD72" i="1"/>
  <c r="CE72" i="1"/>
  <c r="CC73" i="1"/>
  <c r="CD73" i="1"/>
  <c r="CE73" i="1"/>
  <c r="CC74" i="1"/>
  <c r="CD74" i="1"/>
  <c r="CE74" i="1"/>
  <c r="CC75" i="1"/>
  <c r="CD75" i="1"/>
  <c r="CE75" i="1"/>
  <c r="CC76" i="1"/>
  <c r="CD76" i="1"/>
  <c r="CE76" i="1"/>
  <c r="CC77" i="1"/>
  <c r="CD77" i="1"/>
  <c r="CE77" i="1"/>
  <c r="CC78" i="1"/>
  <c r="CD78" i="1"/>
  <c r="CE78" i="1"/>
  <c r="CD63" i="1"/>
  <c r="CE63" i="1"/>
  <c r="CE67" i="1"/>
  <c r="CD67" i="1"/>
  <c r="CC67" i="1"/>
  <c r="CE66" i="1"/>
  <c r="CD66" i="1"/>
  <c r="CC66" i="1"/>
  <c r="CE65" i="1"/>
  <c r="CD65" i="1"/>
  <c r="CC65" i="1"/>
  <c r="CE62" i="1"/>
  <c r="CD62" i="1"/>
  <c r="CE61" i="1"/>
  <c r="CD61" i="1"/>
  <c r="CE60" i="1"/>
  <c r="CD60" i="1"/>
  <c r="CE55" i="1"/>
  <c r="CD55" i="1"/>
  <c r="CC55" i="1"/>
  <c r="CB55" i="1"/>
  <c r="CA55" i="1"/>
  <c r="CE54" i="1"/>
  <c r="CD54" i="1"/>
  <c r="CC54" i="1"/>
  <c r="CB54" i="1"/>
  <c r="CA54" i="1"/>
  <c r="CE53" i="1"/>
  <c r="CD53" i="1"/>
  <c r="CC53" i="1"/>
  <c r="CB53" i="1"/>
  <c r="CA53" i="1"/>
  <c r="CE36" i="1"/>
  <c r="CD36" i="1"/>
  <c r="CC36" i="1"/>
  <c r="CB36" i="1"/>
  <c r="CA36" i="1"/>
  <c r="CE35" i="1"/>
  <c r="CD35" i="1"/>
  <c r="CC35" i="1"/>
  <c r="CB35" i="1"/>
  <c r="CA35" i="1"/>
  <c r="CE34" i="1"/>
  <c r="CD34" i="1"/>
  <c r="CC34" i="1"/>
  <c r="CB34" i="1"/>
  <c r="CA34" i="1"/>
  <c r="CA29" i="1"/>
  <c r="CB29" i="1"/>
  <c r="CC29" i="1"/>
  <c r="CD29" i="1"/>
  <c r="CE29" i="1"/>
  <c r="CA30" i="1"/>
  <c r="CB30" i="1"/>
  <c r="CC30" i="1"/>
  <c r="CD30" i="1"/>
  <c r="CE30" i="1"/>
  <c r="CA31" i="1"/>
  <c r="CB31" i="1"/>
  <c r="CC31" i="1"/>
  <c r="CD31" i="1"/>
  <c r="CE31" i="1"/>
  <c r="CA32" i="1"/>
  <c r="CB32" i="1"/>
  <c r="CC32" i="1"/>
  <c r="CD32" i="1"/>
  <c r="CE32" i="1"/>
  <c r="CE28" i="1"/>
  <c r="CD28" i="1"/>
  <c r="CC28" i="1"/>
  <c r="CB28" i="1"/>
  <c r="CA28" i="1"/>
  <c r="CE27" i="1"/>
  <c r="CD27" i="1"/>
  <c r="CC27" i="1"/>
  <c r="CB27" i="1"/>
  <c r="CA27" i="1"/>
  <c r="CE26" i="1"/>
  <c r="CD26" i="1"/>
  <c r="CC26" i="1"/>
  <c r="CB26" i="1"/>
  <c r="CA26" i="1"/>
  <c r="CE25" i="1"/>
  <c r="CD25" i="1"/>
  <c r="CC25" i="1"/>
  <c r="CB25" i="1"/>
  <c r="CA25" i="1"/>
  <c r="CE24" i="1"/>
  <c r="CD24" i="1"/>
  <c r="CC24" i="1"/>
  <c r="CB24" i="1"/>
  <c r="CA24" i="1"/>
  <c r="CE23" i="1"/>
  <c r="CD23" i="1"/>
  <c r="CC23" i="1"/>
  <c r="CB23" i="1"/>
  <c r="CA23" i="1"/>
  <c r="BY20" i="1"/>
  <c r="BY19" i="1"/>
  <c r="BW20" i="1"/>
  <c r="BW19" i="1"/>
  <c r="BU20" i="1"/>
  <c r="BU19" i="1"/>
  <c r="CU58" i="1"/>
  <c r="CU57" i="1"/>
  <c r="CS58" i="1"/>
  <c r="CS57" i="1"/>
  <c r="CU55" i="1"/>
  <c r="CU54" i="1"/>
  <c r="CU53" i="1"/>
  <c r="CS55" i="1"/>
  <c r="CS54" i="1"/>
  <c r="CS53" i="1"/>
  <c r="CU51" i="1"/>
  <c r="CU50" i="1"/>
  <c r="CS51" i="1"/>
  <c r="CS50" i="1"/>
  <c r="CU48" i="1"/>
  <c r="CU47" i="1"/>
  <c r="CS48" i="1"/>
  <c r="CS47" i="1"/>
  <c r="CU45" i="1"/>
  <c r="CU44" i="1"/>
  <c r="CS45" i="1"/>
  <c r="CS44" i="1"/>
  <c r="CU42" i="1"/>
  <c r="CU41" i="1"/>
  <c r="CS42" i="1"/>
  <c r="CS41" i="1"/>
  <c r="CU39" i="1"/>
  <c r="CU38" i="1"/>
  <c r="CS39" i="1"/>
  <c r="CS38" i="1"/>
  <c r="CU36" i="1"/>
  <c r="CU35" i="1"/>
  <c r="CU34" i="1"/>
  <c r="CS36" i="1"/>
  <c r="CS35" i="1"/>
  <c r="CS34" i="1"/>
  <c r="CQ55" i="1"/>
  <c r="CQ36" i="1"/>
  <c r="CQ35" i="1"/>
  <c r="CQ34" i="1"/>
  <c r="CQ39" i="1"/>
  <c r="CQ38" i="1"/>
  <c r="CQ42" i="1"/>
  <c r="CQ41" i="1"/>
  <c r="CQ45" i="1"/>
  <c r="CQ44" i="1"/>
  <c r="CQ48" i="1"/>
  <c r="CQ47" i="1"/>
  <c r="CQ51" i="1"/>
  <c r="CQ50" i="1"/>
  <c r="CQ54" i="1"/>
  <c r="CQ53" i="1"/>
  <c r="CQ58" i="1"/>
  <c r="CQ57" i="1"/>
  <c r="CU61" i="1"/>
  <c r="CU62" i="1"/>
  <c r="CU63" i="1"/>
  <c r="CU60" i="1"/>
  <c r="CS63" i="1"/>
  <c r="CS60" i="1"/>
  <c r="CQ61" i="1"/>
  <c r="CQ60" i="1"/>
  <c r="CU66" i="1"/>
  <c r="CU67" i="1"/>
  <c r="CU68" i="1"/>
  <c r="CU69" i="1"/>
  <c r="CU70" i="1"/>
  <c r="CU71" i="1"/>
  <c r="CU72" i="1"/>
  <c r="CU73" i="1"/>
  <c r="CU74" i="1"/>
  <c r="CU75" i="1"/>
  <c r="CU76" i="1"/>
  <c r="CU77" i="1"/>
  <c r="CU78" i="1"/>
  <c r="CU65" i="1"/>
  <c r="CS66" i="1"/>
  <c r="CS67" i="1"/>
  <c r="CS68" i="1"/>
  <c r="CS69" i="1"/>
  <c r="CS70" i="1"/>
  <c r="CS71" i="1"/>
  <c r="CS72" i="1"/>
  <c r="CS73" i="1"/>
  <c r="CS74" i="1"/>
  <c r="CS75" i="1"/>
  <c r="CS76" i="1"/>
  <c r="CS77" i="1"/>
  <c r="CS78" i="1"/>
  <c r="CS65" i="1"/>
  <c r="CQ75" i="1"/>
  <c r="CQ76" i="1"/>
  <c r="CQ77" i="1"/>
  <c r="CQ78" i="1"/>
  <c r="CQ74" i="1"/>
  <c r="CQ73" i="1"/>
  <c r="CQ72" i="1"/>
  <c r="CQ71" i="1"/>
  <c r="CQ70" i="1"/>
  <c r="CQ69" i="1"/>
  <c r="CQ68" i="1"/>
  <c r="CQ67" i="1"/>
  <c r="CQ66" i="1"/>
  <c r="CQ65" i="1"/>
  <c r="CY67" i="1"/>
  <c r="CZ67" i="1"/>
  <c r="DA67" i="1"/>
  <c r="CY68" i="1"/>
  <c r="CZ68" i="1"/>
  <c r="DA68" i="1"/>
  <c r="CY69" i="1"/>
  <c r="CZ69" i="1"/>
  <c r="DA69" i="1"/>
  <c r="CY70" i="1"/>
  <c r="CZ70" i="1"/>
  <c r="DA70" i="1"/>
  <c r="CY71" i="1"/>
  <c r="CZ71" i="1"/>
  <c r="DA71" i="1"/>
  <c r="CY72" i="1"/>
  <c r="CZ72" i="1"/>
  <c r="DA72" i="1"/>
  <c r="CY73" i="1"/>
  <c r="CZ73" i="1"/>
  <c r="DA73" i="1"/>
  <c r="CY74" i="1"/>
  <c r="CZ74" i="1"/>
  <c r="DA74" i="1"/>
  <c r="CY75" i="1"/>
  <c r="CZ75" i="1"/>
  <c r="DA75" i="1"/>
  <c r="CY76" i="1"/>
  <c r="CZ76" i="1"/>
  <c r="DA76" i="1"/>
  <c r="CY77" i="1"/>
  <c r="CZ77" i="1"/>
  <c r="DA77" i="1"/>
  <c r="CY78" i="1"/>
  <c r="CZ78" i="1"/>
  <c r="DA78" i="1"/>
  <c r="DA66" i="1"/>
  <c r="CZ66" i="1"/>
  <c r="CY66" i="1"/>
  <c r="DA65" i="1"/>
  <c r="CZ65" i="1"/>
  <c r="CY65" i="1"/>
  <c r="CW55" i="1"/>
  <c r="CX55" i="1"/>
  <c r="CY55" i="1"/>
  <c r="CZ55" i="1"/>
  <c r="DA55" i="1"/>
  <c r="DA63" i="1"/>
  <c r="CZ63" i="1"/>
  <c r="DA62" i="1"/>
  <c r="CZ62" i="1"/>
  <c r="DA61" i="1"/>
  <c r="CZ61" i="1"/>
  <c r="DA60" i="1"/>
  <c r="CZ60" i="1"/>
  <c r="DA58" i="1"/>
  <c r="CZ58" i="1"/>
  <c r="CY58" i="1"/>
  <c r="CX58" i="1"/>
  <c r="CW58" i="1"/>
  <c r="DA57" i="1"/>
  <c r="CZ57" i="1"/>
  <c r="CY57" i="1"/>
  <c r="CX57" i="1"/>
  <c r="CW57" i="1"/>
  <c r="DA54" i="1"/>
  <c r="CZ54" i="1"/>
  <c r="CY54" i="1"/>
  <c r="CX54" i="1"/>
  <c r="CW54" i="1"/>
  <c r="DA53" i="1"/>
  <c r="CZ53" i="1"/>
  <c r="CY53" i="1"/>
  <c r="CX53" i="1"/>
  <c r="CW53" i="1"/>
  <c r="DA51" i="1"/>
  <c r="CZ51" i="1"/>
  <c r="CY51" i="1"/>
  <c r="CX51" i="1"/>
  <c r="CW51" i="1"/>
  <c r="DA50" i="1"/>
  <c r="CZ50" i="1"/>
  <c r="CY50" i="1"/>
  <c r="CX50" i="1"/>
  <c r="CW50" i="1"/>
  <c r="DA48" i="1"/>
  <c r="CZ48" i="1"/>
  <c r="CY48" i="1"/>
  <c r="CX48" i="1"/>
  <c r="CW48" i="1"/>
  <c r="DA47" i="1"/>
  <c r="CZ47" i="1"/>
  <c r="CY47" i="1"/>
  <c r="CX47" i="1"/>
  <c r="CW47" i="1"/>
  <c r="DA45" i="1"/>
  <c r="CZ45" i="1"/>
  <c r="CY45" i="1"/>
  <c r="CX45" i="1"/>
  <c r="CW45" i="1"/>
  <c r="DA44" i="1"/>
  <c r="CZ44" i="1"/>
  <c r="CY44" i="1"/>
  <c r="CX44" i="1"/>
  <c r="CW44" i="1"/>
  <c r="DA42" i="1"/>
  <c r="CZ42" i="1"/>
  <c r="CY42" i="1"/>
  <c r="CX42" i="1"/>
  <c r="CW42" i="1"/>
  <c r="DA41" i="1"/>
  <c r="CZ41" i="1"/>
  <c r="CY41" i="1"/>
  <c r="CX41" i="1"/>
  <c r="CW41" i="1"/>
  <c r="DA39" i="1"/>
  <c r="CZ39" i="1"/>
  <c r="CY39" i="1"/>
  <c r="CX39" i="1"/>
  <c r="CW39" i="1"/>
  <c r="DA38" i="1"/>
  <c r="CZ38" i="1"/>
  <c r="CY38" i="1"/>
  <c r="CX38" i="1"/>
  <c r="CW38" i="1"/>
  <c r="CW35" i="1"/>
  <c r="CX35" i="1"/>
  <c r="CY35" i="1"/>
  <c r="CZ35" i="1"/>
  <c r="DA35" i="1"/>
  <c r="CW36" i="1"/>
  <c r="CX36" i="1"/>
  <c r="CY36" i="1"/>
  <c r="CZ36" i="1"/>
  <c r="DA36" i="1"/>
  <c r="DA34" i="1"/>
  <c r="CZ34" i="1"/>
  <c r="CY34" i="1"/>
  <c r="CX34" i="1"/>
  <c r="CW34" i="1"/>
  <c r="CW24" i="1"/>
  <c r="CX24" i="1"/>
  <c r="CY24" i="1"/>
  <c r="CZ24" i="1"/>
  <c r="DA24" i="1"/>
  <c r="CW25" i="1"/>
  <c r="CX25" i="1"/>
  <c r="CY25" i="1"/>
  <c r="CZ25" i="1"/>
  <c r="DA25" i="1"/>
  <c r="CW26" i="1"/>
  <c r="CX26" i="1"/>
  <c r="CY26" i="1"/>
  <c r="CZ26" i="1"/>
  <c r="DA26" i="1"/>
  <c r="CW27" i="1"/>
  <c r="CX27" i="1"/>
  <c r="CY27" i="1"/>
  <c r="CZ27" i="1"/>
  <c r="DA27" i="1"/>
  <c r="CW28" i="1"/>
  <c r="CX28" i="1"/>
  <c r="CY28" i="1"/>
  <c r="CZ28" i="1"/>
  <c r="DA28" i="1"/>
  <c r="CW29" i="1"/>
  <c r="CX29" i="1"/>
  <c r="CY29" i="1"/>
  <c r="CZ29" i="1"/>
  <c r="DA29" i="1"/>
  <c r="CW30" i="1"/>
  <c r="CX30" i="1"/>
  <c r="CY30" i="1"/>
  <c r="CZ30" i="1"/>
  <c r="DA30" i="1"/>
  <c r="CW31" i="1"/>
  <c r="CX31" i="1"/>
  <c r="CY31" i="1"/>
  <c r="CZ31" i="1"/>
  <c r="DA31" i="1"/>
  <c r="CW32" i="1"/>
  <c r="CX32" i="1"/>
  <c r="CY32" i="1"/>
  <c r="CZ32" i="1"/>
  <c r="DA32" i="1"/>
  <c r="CZ23" i="1"/>
  <c r="DA23" i="1"/>
  <c r="CY23" i="1"/>
  <c r="CX23" i="1"/>
  <c r="CW23" i="1"/>
  <c r="CU24" i="1"/>
  <c r="CU25" i="1"/>
  <c r="CU26" i="1"/>
  <c r="CU27" i="1"/>
  <c r="CU28" i="1"/>
  <c r="CU29" i="1"/>
  <c r="CU30" i="1"/>
  <c r="CU31" i="1"/>
  <c r="CU32" i="1"/>
  <c r="CU23" i="1"/>
  <c r="CS24" i="1"/>
  <c r="CS25" i="1"/>
  <c r="CS26" i="1"/>
  <c r="CS27" i="1"/>
  <c r="CS28" i="1"/>
  <c r="CS29" i="1"/>
  <c r="CS30" i="1"/>
  <c r="CS31" i="1"/>
  <c r="CS32" i="1"/>
  <c r="CS23" i="1"/>
  <c r="CQ24" i="1"/>
  <c r="CQ25" i="1"/>
  <c r="CQ26" i="1"/>
  <c r="CQ27" i="1"/>
  <c r="CQ28" i="1"/>
  <c r="CQ29" i="1"/>
  <c r="CQ30" i="1"/>
  <c r="CQ31" i="1"/>
  <c r="CQ32" i="1"/>
  <c r="CQ23" i="1"/>
  <c r="DQ45" i="1"/>
  <c r="DQ44" i="1"/>
  <c r="DO45" i="1"/>
  <c r="DO44" i="1"/>
  <c r="DQ51" i="1"/>
  <c r="DQ50" i="1"/>
  <c r="DO51" i="1"/>
  <c r="DO50" i="1"/>
  <c r="DQ55" i="1"/>
  <c r="DQ54" i="1"/>
  <c r="DQ53" i="1"/>
  <c r="DO55" i="1"/>
  <c r="DO54" i="1"/>
  <c r="DO53" i="1"/>
  <c r="DM55" i="1"/>
  <c r="DQ58" i="1"/>
  <c r="DQ57" i="1"/>
  <c r="DO58" i="1"/>
  <c r="DO57" i="1"/>
  <c r="DQ63" i="1"/>
  <c r="DQ62" i="1"/>
  <c r="DQ61" i="1"/>
  <c r="DQ60" i="1"/>
  <c r="DO63" i="1"/>
  <c r="DO62" i="1"/>
  <c r="DO60" i="1"/>
  <c r="DQ78" i="1"/>
  <c r="DQ77" i="1"/>
  <c r="DQ76" i="1"/>
  <c r="DQ75" i="1"/>
  <c r="DQ74" i="1"/>
  <c r="DQ73" i="1"/>
  <c r="DQ72" i="1"/>
  <c r="DQ71" i="1"/>
  <c r="DQ70" i="1"/>
  <c r="DQ69" i="1"/>
  <c r="DQ68" i="1"/>
  <c r="DQ67" i="1"/>
  <c r="DQ66" i="1"/>
  <c r="DQ65" i="1"/>
  <c r="DO78" i="1"/>
  <c r="DO77" i="1"/>
  <c r="DO76" i="1"/>
  <c r="DO75" i="1"/>
  <c r="DO74" i="1"/>
  <c r="DO73" i="1"/>
  <c r="DO72" i="1"/>
  <c r="DO71" i="1"/>
  <c r="DO70" i="1"/>
  <c r="DO69" i="1"/>
  <c r="DO68" i="1"/>
  <c r="DO67" i="1"/>
  <c r="DO66" i="1"/>
  <c r="DO65" i="1"/>
  <c r="DM77" i="1"/>
  <c r="DM78" i="1"/>
  <c r="DM76" i="1"/>
  <c r="DM75" i="1"/>
  <c r="DM74" i="1"/>
  <c r="DM73" i="1"/>
  <c r="DM72" i="1"/>
  <c r="DM71" i="1"/>
  <c r="DM70" i="1"/>
  <c r="DM69" i="1"/>
  <c r="DM68" i="1"/>
  <c r="DM67" i="1"/>
  <c r="DM66" i="1"/>
  <c r="DM65" i="1"/>
  <c r="DM60" i="1"/>
  <c r="DM58" i="1"/>
  <c r="DM57" i="1"/>
  <c r="DM54" i="1"/>
  <c r="DM53" i="1"/>
  <c r="DM51" i="1"/>
  <c r="DM50" i="1"/>
  <c r="DM48" i="1"/>
  <c r="DM47" i="1"/>
  <c r="DM45" i="1"/>
  <c r="DM44" i="1"/>
  <c r="DM42" i="1"/>
  <c r="DO42" i="1"/>
  <c r="DQ42" i="1"/>
  <c r="DQ41" i="1"/>
  <c r="DO41" i="1"/>
  <c r="DM41" i="1"/>
  <c r="DM39" i="1"/>
  <c r="DO39" i="1"/>
  <c r="DQ39" i="1"/>
  <c r="DQ38" i="1"/>
  <c r="DO38" i="1"/>
  <c r="DM38" i="1"/>
  <c r="DQ36" i="1"/>
  <c r="DQ35" i="1"/>
  <c r="DQ34" i="1"/>
  <c r="DO36" i="1"/>
  <c r="DO35" i="1"/>
  <c r="DO34" i="1"/>
  <c r="DM36" i="1"/>
  <c r="DM35" i="1"/>
  <c r="DM34" i="1"/>
  <c r="DQ24" i="1"/>
  <c r="DQ25" i="1"/>
  <c r="DQ26" i="1"/>
  <c r="DQ27" i="1"/>
  <c r="DQ28" i="1"/>
  <c r="DQ29" i="1"/>
  <c r="DQ30" i="1"/>
  <c r="DQ31" i="1"/>
  <c r="DQ32" i="1"/>
  <c r="DQ23" i="1"/>
  <c r="DO24" i="1"/>
  <c r="DO25" i="1"/>
  <c r="DO26" i="1"/>
  <c r="DO27" i="1"/>
  <c r="DO28" i="1"/>
  <c r="DO29" i="1"/>
  <c r="DO30" i="1"/>
  <c r="DO31" i="1"/>
  <c r="DO32" i="1"/>
  <c r="DO23" i="1"/>
  <c r="DM24" i="1"/>
  <c r="DM25" i="1"/>
  <c r="DM26" i="1"/>
  <c r="DM27" i="1"/>
  <c r="DM28" i="1"/>
  <c r="DM29" i="1"/>
  <c r="DM30" i="1"/>
  <c r="DM31" i="1"/>
  <c r="DM32" i="1"/>
  <c r="DM23" i="1"/>
  <c r="DU69" i="1"/>
  <c r="DV69" i="1"/>
  <c r="DW69" i="1"/>
  <c r="DU70" i="1"/>
  <c r="DV70" i="1"/>
  <c r="DW70" i="1"/>
  <c r="DU71" i="1"/>
  <c r="DV71" i="1"/>
  <c r="DW71" i="1"/>
  <c r="DU72" i="1"/>
  <c r="DV72" i="1"/>
  <c r="DW72" i="1"/>
  <c r="DU73" i="1"/>
  <c r="DV73" i="1"/>
  <c r="DW73" i="1"/>
  <c r="DU74" i="1"/>
  <c r="DV74" i="1"/>
  <c r="DW74" i="1"/>
  <c r="DU75" i="1"/>
  <c r="DV75" i="1"/>
  <c r="DW75" i="1"/>
  <c r="DU76" i="1"/>
  <c r="DV76" i="1"/>
  <c r="DW76" i="1"/>
  <c r="DU77" i="1"/>
  <c r="DV77" i="1"/>
  <c r="DW77" i="1"/>
  <c r="DU78" i="1"/>
  <c r="DV78" i="1"/>
  <c r="DW78" i="1"/>
  <c r="DW68" i="1"/>
  <c r="DV68" i="1"/>
  <c r="DU68" i="1"/>
  <c r="DW67" i="1"/>
  <c r="DV67" i="1"/>
  <c r="DU67" i="1"/>
  <c r="DW66" i="1"/>
  <c r="DV66" i="1"/>
  <c r="DU66" i="1"/>
  <c r="DW65" i="1"/>
  <c r="DV65" i="1"/>
  <c r="DU65" i="1"/>
  <c r="DS55" i="1"/>
  <c r="DT55" i="1"/>
  <c r="DU55" i="1"/>
  <c r="DV55" i="1"/>
  <c r="DW55" i="1"/>
  <c r="DW54" i="1"/>
  <c r="DV54" i="1"/>
  <c r="DU54" i="1"/>
  <c r="DT54" i="1"/>
  <c r="DS54" i="1"/>
  <c r="DW53" i="1"/>
  <c r="DV53" i="1"/>
  <c r="DU53" i="1"/>
  <c r="DT53" i="1"/>
  <c r="DS53" i="1"/>
  <c r="DW63" i="1"/>
  <c r="DV63" i="1"/>
  <c r="DW62" i="1"/>
  <c r="DV62" i="1"/>
  <c r="DW61" i="1"/>
  <c r="DV61" i="1"/>
  <c r="DW60" i="1"/>
  <c r="DV60" i="1"/>
  <c r="DW58" i="1"/>
  <c r="DV58" i="1"/>
  <c r="DU58" i="1"/>
  <c r="DT58" i="1"/>
  <c r="DS58" i="1"/>
  <c r="DW57" i="1"/>
  <c r="DV57" i="1"/>
  <c r="DU57" i="1"/>
  <c r="DT57" i="1"/>
  <c r="DS57" i="1"/>
  <c r="DW51" i="1"/>
  <c r="DV51" i="1"/>
  <c r="DU51" i="1"/>
  <c r="DT51" i="1"/>
  <c r="DS51" i="1"/>
  <c r="DW50" i="1"/>
  <c r="DV50" i="1"/>
  <c r="DU50" i="1"/>
  <c r="DT50" i="1"/>
  <c r="DS50" i="1"/>
  <c r="DW48" i="1"/>
  <c r="DV48" i="1"/>
  <c r="DU48" i="1"/>
  <c r="DT48" i="1"/>
  <c r="DS48" i="1"/>
  <c r="DW47" i="1"/>
  <c r="DV47" i="1"/>
  <c r="DU47" i="1"/>
  <c r="DT47" i="1"/>
  <c r="DS47" i="1"/>
  <c r="DW45" i="1"/>
  <c r="DV45" i="1"/>
  <c r="DU45" i="1"/>
  <c r="DT45" i="1"/>
  <c r="DS45" i="1"/>
  <c r="DW44" i="1"/>
  <c r="DV44" i="1"/>
  <c r="DU44" i="1"/>
  <c r="DT44" i="1"/>
  <c r="DS44" i="1"/>
  <c r="DW42" i="1"/>
  <c r="DV42" i="1"/>
  <c r="DU42" i="1"/>
  <c r="DT42" i="1"/>
  <c r="DS42" i="1"/>
  <c r="DW41" i="1"/>
  <c r="DV41" i="1"/>
  <c r="DU41" i="1"/>
  <c r="DT41" i="1"/>
  <c r="DS41" i="1"/>
  <c r="DW39" i="1"/>
  <c r="DV39" i="1"/>
  <c r="DU39" i="1"/>
  <c r="DT39" i="1"/>
  <c r="DS39" i="1"/>
  <c r="DW38" i="1"/>
  <c r="DV38" i="1"/>
  <c r="DU38" i="1"/>
  <c r="DT38" i="1"/>
  <c r="DS38" i="1"/>
  <c r="DW36" i="1"/>
  <c r="DV36" i="1"/>
  <c r="DU36" i="1"/>
  <c r="DT36" i="1"/>
  <c r="DS36" i="1"/>
  <c r="DW35" i="1"/>
  <c r="DV35" i="1"/>
  <c r="DU35" i="1"/>
  <c r="DT35" i="1"/>
  <c r="DS35" i="1"/>
  <c r="DW34" i="1"/>
  <c r="DV34" i="1"/>
  <c r="DU34" i="1"/>
  <c r="DT34" i="1"/>
  <c r="DS34" i="1"/>
  <c r="DS24" i="1"/>
  <c r="DT24" i="1"/>
  <c r="DU24" i="1"/>
  <c r="DV24" i="1"/>
  <c r="DW24" i="1"/>
  <c r="DS25" i="1"/>
  <c r="DT25" i="1"/>
  <c r="DU25" i="1"/>
  <c r="DV25" i="1"/>
  <c r="DW25" i="1"/>
  <c r="DS26" i="1"/>
  <c r="DT26" i="1"/>
  <c r="DU26" i="1"/>
  <c r="DV26" i="1"/>
  <c r="DW26" i="1"/>
  <c r="DS27" i="1"/>
  <c r="DT27" i="1"/>
  <c r="DU27" i="1"/>
  <c r="DV27" i="1"/>
  <c r="DW27" i="1"/>
  <c r="DS28" i="1"/>
  <c r="DT28" i="1"/>
  <c r="DU28" i="1"/>
  <c r="DV28" i="1"/>
  <c r="DW28" i="1"/>
  <c r="DS29" i="1"/>
  <c r="DT29" i="1"/>
  <c r="DU29" i="1"/>
  <c r="DV29" i="1"/>
  <c r="DW29" i="1"/>
  <c r="DS30" i="1"/>
  <c r="DT30" i="1"/>
  <c r="DU30" i="1"/>
  <c r="DV30" i="1"/>
  <c r="DW30" i="1"/>
  <c r="DS31" i="1"/>
  <c r="DT31" i="1"/>
  <c r="DU31" i="1"/>
  <c r="DV31" i="1"/>
  <c r="DW31" i="1"/>
  <c r="DS32" i="1"/>
  <c r="DT32" i="1"/>
  <c r="DU32" i="1"/>
  <c r="DV32" i="1"/>
  <c r="DW32" i="1"/>
  <c r="DV23" i="1"/>
  <c r="DW23" i="1"/>
  <c r="DU23" i="1"/>
  <c r="DT23" i="1"/>
  <c r="DS23" i="1"/>
  <c r="DQ20" i="1"/>
  <c r="DQ19" i="1"/>
  <c r="DO20" i="1"/>
  <c r="DO19" i="1"/>
  <c r="DQ17" i="1"/>
  <c r="DQ16" i="1"/>
  <c r="DO17" i="1"/>
  <c r="DO16" i="1"/>
  <c r="DQ14" i="1"/>
  <c r="DQ13" i="1"/>
  <c r="DO14" i="1"/>
  <c r="DO13" i="1"/>
  <c r="DM20" i="1"/>
  <c r="DM19" i="1"/>
  <c r="DM17" i="1"/>
  <c r="DM16" i="1"/>
  <c r="DM14" i="1"/>
  <c r="DM13" i="1"/>
  <c r="DW20" i="1"/>
  <c r="DV20" i="1"/>
  <c r="DU20" i="1"/>
  <c r="DT20" i="1"/>
  <c r="DS20" i="1"/>
  <c r="DW19" i="1"/>
  <c r="DV19" i="1"/>
  <c r="DU19" i="1"/>
  <c r="DT19" i="1"/>
  <c r="DS19" i="1"/>
  <c r="DW17" i="1"/>
  <c r="DV17" i="1"/>
  <c r="DU17" i="1"/>
  <c r="DT17" i="1"/>
  <c r="DS17" i="1"/>
  <c r="DW16" i="1"/>
  <c r="DV16" i="1"/>
  <c r="DU16" i="1"/>
  <c r="DT16" i="1"/>
  <c r="DS16" i="1"/>
  <c r="DW14" i="1"/>
  <c r="DV14" i="1"/>
  <c r="DU14" i="1"/>
  <c r="DT14" i="1"/>
  <c r="DS14" i="1"/>
  <c r="DW13" i="1"/>
  <c r="DV13" i="1"/>
  <c r="DU13" i="1"/>
  <c r="DT13" i="1"/>
  <c r="DS13" i="1"/>
  <c r="DS7" i="1"/>
  <c r="DT7" i="1"/>
  <c r="DU7" i="1"/>
  <c r="DV7" i="1"/>
  <c r="DW7" i="1"/>
  <c r="DS8" i="1"/>
  <c r="DT8" i="1"/>
  <c r="DU8" i="1"/>
  <c r="DV8" i="1"/>
  <c r="DW8" i="1"/>
  <c r="DS9" i="1"/>
  <c r="DT9" i="1"/>
  <c r="DU9" i="1"/>
  <c r="DV9" i="1"/>
  <c r="DW9" i="1"/>
  <c r="DS10" i="1"/>
  <c r="DT10" i="1"/>
  <c r="DU10" i="1"/>
  <c r="DV10" i="1"/>
  <c r="DW10" i="1"/>
  <c r="DS11" i="1"/>
  <c r="DT11" i="1"/>
  <c r="DU11" i="1"/>
  <c r="DV11" i="1"/>
  <c r="DW11" i="1"/>
  <c r="DW6" i="1"/>
  <c r="DV6" i="1"/>
  <c r="DU6" i="1"/>
  <c r="DT6" i="1"/>
  <c r="DS6" i="1"/>
  <c r="DQ7" i="1"/>
  <c r="DQ8" i="1"/>
  <c r="DQ9" i="1"/>
  <c r="DQ10" i="1"/>
  <c r="DQ11" i="1"/>
  <c r="DQ6" i="1"/>
  <c r="DO7" i="1"/>
  <c r="DO8" i="1"/>
  <c r="DO9" i="1"/>
  <c r="DO10" i="1"/>
  <c r="DO11" i="1"/>
  <c r="DO6" i="1"/>
  <c r="DM7" i="1"/>
  <c r="DM8" i="1"/>
  <c r="DM9" i="1"/>
  <c r="DM10" i="1"/>
  <c r="DM11" i="1"/>
  <c r="DM6" i="1"/>
  <c r="DA20" i="1"/>
  <c r="CZ20" i="1"/>
  <c r="CY20" i="1"/>
  <c r="CX20" i="1"/>
  <c r="CW20" i="1"/>
  <c r="DA19" i="1"/>
  <c r="CZ19" i="1"/>
  <c r="CY19" i="1"/>
  <c r="CX19" i="1"/>
  <c r="CW19" i="1"/>
  <c r="DA17" i="1"/>
  <c r="CZ17" i="1"/>
  <c r="CY17" i="1"/>
  <c r="CX17" i="1"/>
  <c r="CW17" i="1"/>
  <c r="DA16" i="1"/>
  <c r="CZ16" i="1"/>
  <c r="CY16" i="1"/>
  <c r="CX16" i="1"/>
  <c r="CW16" i="1"/>
  <c r="DA14" i="1"/>
  <c r="CZ14" i="1"/>
  <c r="CY14" i="1"/>
  <c r="CX14" i="1"/>
  <c r="CW14" i="1"/>
  <c r="DA13" i="1"/>
  <c r="CZ13" i="1"/>
  <c r="CY13" i="1"/>
  <c r="CX13" i="1"/>
  <c r="CW13" i="1"/>
  <c r="CU20" i="1"/>
  <c r="CU19" i="1"/>
  <c r="CU17" i="1"/>
  <c r="CU16" i="1"/>
  <c r="CU14" i="1"/>
  <c r="CU13" i="1"/>
  <c r="CS20" i="1"/>
  <c r="CS19" i="1"/>
  <c r="CS17" i="1"/>
  <c r="CS16" i="1"/>
  <c r="CS14" i="1"/>
  <c r="CS13" i="1"/>
  <c r="CQ20" i="1"/>
  <c r="CQ19" i="1"/>
  <c r="CQ17" i="1"/>
  <c r="CQ16" i="1"/>
  <c r="CQ14" i="1"/>
  <c r="CQ13" i="1"/>
  <c r="CQ7" i="1"/>
  <c r="CQ8" i="1"/>
  <c r="CQ9" i="1"/>
  <c r="CQ10" i="1"/>
  <c r="CQ11" i="1"/>
  <c r="CS7" i="1"/>
  <c r="CS8" i="1"/>
  <c r="CS9" i="1"/>
  <c r="CS10" i="1"/>
  <c r="CS11" i="1"/>
  <c r="CU7" i="1"/>
  <c r="CU8" i="1"/>
  <c r="CU9" i="1"/>
  <c r="CU10" i="1"/>
  <c r="CU11" i="1"/>
  <c r="CW7" i="1"/>
  <c r="CX7" i="1"/>
  <c r="CY7" i="1"/>
  <c r="CZ7" i="1"/>
  <c r="DA7" i="1"/>
  <c r="CW8" i="1"/>
  <c r="CX8" i="1"/>
  <c r="CY8" i="1"/>
  <c r="CZ8" i="1"/>
  <c r="DA8" i="1"/>
  <c r="CW9" i="1"/>
  <c r="CX9" i="1"/>
  <c r="CY9" i="1"/>
  <c r="CZ9" i="1"/>
  <c r="DA9" i="1"/>
  <c r="CW10" i="1"/>
  <c r="CX10" i="1"/>
  <c r="CY10" i="1"/>
  <c r="CZ10" i="1"/>
  <c r="DA10" i="1"/>
  <c r="CW11" i="1"/>
  <c r="CX11" i="1"/>
  <c r="CY11" i="1"/>
  <c r="CZ11" i="1"/>
  <c r="DA11" i="1"/>
  <c r="CZ6" i="1"/>
  <c r="DA6" i="1"/>
  <c r="CY6" i="1"/>
  <c r="CX6" i="1"/>
  <c r="CW6" i="1"/>
  <c r="CU6" i="1"/>
  <c r="CS6" i="1"/>
  <c r="CQ6" i="1"/>
  <c r="CE20" i="1"/>
  <c r="CD20" i="1"/>
  <c r="CC20" i="1"/>
  <c r="CB20" i="1"/>
  <c r="CA20" i="1"/>
  <c r="CE19" i="1"/>
  <c r="CD19" i="1"/>
  <c r="CC19" i="1"/>
  <c r="CB19" i="1"/>
  <c r="CA19" i="1"/>
  <c r="CE17" i="1"/>
  <c r="CD17" i="1"/>
  <c r="CC17" i="1"/>
  <c r="CB17" i="1"/>
  <c r="CA17" i="1"/>
  <c r="CE16" i="1"/>
  <c r="CD16" i="1"/>
  <c r="CC16" i="1"/>
  <c r="CB16" i="1"/>
  <c r="CA16" i="1"/>
  <c r="CE14" i="1"/>
  <c r="CD14" i="1"/>
  <c r="CC14" i="1"/>
  <c r="CB14" i="1"/>
  <c r="CA14" i="1"/>
  <c r="CE13" i="1"/>
  <c r="CD13" i="1"/>
  <c r="CC13" i="1"/>
  <c r="CB13" i="1"/>
  <c r="CA13" i="1"/>
  <c r="BU17" i="1"/>
  <c r="BW17" i="1"/>
  <c r="BY17" i="1"/>
  <c r="BY16" i="1"/>
  <c r="BW16" i="1"/>
  <c r="BU16" i="1"/>
  <c r="BY14" i="1"/>
  <c r="BW14" i="1"/>
  <c r="BU14" i="1"/>
  <c r="BY13" i="1"/>
  <c r="BW13" i="1"/>
  <c r="BU13" i="1"/>
  <c r="BU7" i="1"/>
  <c r="BU8" i="1"/>
  <c r="BU9" i="1"/>
  <c r="BU10" i="1"/>
  <c r="BU11" i="1"/>
  <c r="BY7" i="1"/>
  <c r="BY8" i="1"/>
  <c r="BY9" i="1"/>
  <c r="BY10" i="1"/>
  <c r="BY11" i="1"/>
  <c r="BW7" i="1"/>
  <c r="BW8" i="1"/>
  <c r="BW9" i="1"/>
  <c r="BW10" i="1"/>
  <c r="BW11" i="1"/>
  <c r="CA7" i="1"/>
  <c r="CB7" i="1"/>
  <c r="CC7" i="1"/>
  <c r="CD7" i="1"/>
  <c r="CE7" i="1"/>
  <c r="CA8" i="1"/>
  <c r="CB8" i="1"/>
  <c r="CC8" i="1"/>
  <c r="CD8" i="1"/>
  <c r="CE8" i="1"/>
  <c r="CA9" i="1"/>
  <c r="CB9" i="1"/>
  <c r="CC9" i="1"/>
  <c r="CD9" i="1"/>
  <c r="CE9" i="1"/>
  <c r="CA10" i="1"/>
  <c r="CB10" i="1"/>
  <c r="CC10" i="1"/>
  <c r="CD10" i="1"/>
  <c r="CE10" i="1"/>
  <c r="CA11" i="1"/>
  <c r="CB11" i="1"/>
  <c r="CC11" i="1"/>
  <c r="CD11" i="1"/>
  <c r="CE11" i="1"/>
  <c r="CD6" i="1"/>
  <c r="CE6" i="1"/>
  <c r="CC6" i="1"/>
  <c r="CB6" i="1"/>
  <c r="CA6" i="1"/>
  <c r="BY6" i="1"/>
  <c r="BW6" i="1"/>
  <c r="BU6" i="1"/>
  <c r="BE24" i="1"/>
  <c r="BF24" i="1"/>
  <c r="BG24" i="1"/>
  <c r="BH24" i="1"/>
  <c r="BI24" i="1"/>
  <c r="BE25" i="1"/>
  <c r="BF25" i="1"/>
  <c r="BG25" i="1"/>
  <c r="BH25" i="1"/>
  <c r="BI25" i="1"/>
  <c r="BE26" i="1"/>
  <c r="BF26" i="1"/>
  <c r="BG26" i="1"/>
  <c r="BH26" i="1"/>
  <c r="BI26" i="1"/>
  <c r="BE27" i="1"/>
  <c r="BF27" i="1"/>
  <c r="BG27" i="1"/>
  <c r="BH27" i="1"/>
  <c r="BI27" i="1"/>
  <c r="BE28" i="1"/>
  <c r="BF28" i="1"/>
  <c r="BG28" i="1"/>
  <c r="BH28" i="1"/>
  <c r="BI28" i="1"/>
  <c r="BE29" i="1"/>
  <c r="BF29" i="1"/>
  <c r="BG29" i="1"/>
  <c r="BH29" i="1"/>
  <c r="BI29" i="1"/>
  <c r="BE30" i="1"/>
  <c r="BF30" i="1"/>
  <c r="BG30" i="1"/>
  <c r="BH30" i="1"/>
  <c r="BI30" i="1"/>
  <c r="BE31" i="1"/>
  <c r="BF31" i="1"/>
  <c r="BG31" i="1"/>
  <c r="BH31" i="1"/>
  <c r="BI31" i="1"/>
  <c r="BE32" i="1"/>
  <c r="BF32" i="1"/>
  <c r="BG32" i="1"/>
  <c r="BH32" i="1"/>
  <c r="BI32" i="1"/>
  <c r="BI23" i="1"/>
  <c r="BH23" i="1"/>
  <c r="BG23" i="1"/>
  <c r="BF23" i="1"/>
  <c r="BE23" i="1"/>
  <c r="BC24" i="1"/>
  <c r="BC25" i="1"/>
  <c r="BC26" i="1"/>
  <c r="BC27" i="1"/>
  <c r="BC28" i="1"/>
  <c r="BC29" i="1"/>
  <c r="BC30" i="1"/>
  <c r="BC31" i="1"/>
  <c r="BC32" i="1"/>
  <c r="BC23" i="1"/>
  <c r="BA24" i="1"/>
  <c r="BA25" i="1"/>
  <c r="BA26" i="1"/>
  <c r="BA27" i="1"/>
  <c r="BA28" i="1"/>
  <c r="BA29" i="1"/>
  <c r="BA30" i="1"/>
  <c r="BA31" i="1"/>
  <c r="BA32" i="1"/>
  <c r="BA23" i="1"/>
  <c r="AY24" i="1"/>
  <c r="AY25" i="1"/>
  <c r="AY26" i="1"/>
  <c r="AY27" i="1"/>
  <c r="AY28" i="1"/>
  <c r="AY29" i="1"/>
  <c r="AY30" i="1"/>
  <c r="AY31" i="1"/>
  <c r="AY32" i="1"/>
  <c r="AY23" i="1"/>
  <c r="BI17" i="1"/>
  <c r="BI16" i="1"/>
  <c r="BI14" i="1"/>
  <c r="BI13" i="1"/>
  <c r="BI20" i="1"/>
  <c r="BI19" i="1"/>
  <c r="BG20" i="1"/>
  <c r="BG19" i="1"/>
  <c r="BG17" i="1"/>
  <c r="BG16" i="1"/>
  <c r="BH20" i="1"/>
  <c r="BH19" i="1"/>
  <c r="BH17" i="1"/>
  <c r="BH16" i="1"/>
  <c r="BH14" i="1"/>
  <c r="BH13" i="1"/>
  <c r="BG14" i="1"/>
  <c r="BG13" i="1"/>
  <c r="BF20" i="1"/>
  <c r="BF19" i="1"/>
  <c r="BF17" i="1"/>
  <c r="BF16" i="1"/>
  <c r="BF14" i="1"/>
  <c r="BF13" i="1"/>
  <c r="BE20" i="1"/>
  <c r="BE19" i="1"/>
  <c r="BE17" i="1"/>
  <c r="BE16" i="1"/>
  <c r="BE14" i="1"/>
  <c r="BE13" i="1"/>
  <c r="BC20" i="1"/>
  <c r="BC19" i="1"/>
  <c r="BC17" i="1"/>
  <c r="BC16" i="1"/>
  <c r="BC14" i="1"/>
  <c r="BC13" i="1"/>
  <c r="BA20" i="1"/>
  <c r="BA19" i="1"/>
  <c r="BA17" i="1"/>
  <c r="BA16" i="1"/>
  <c r="BA14" i="1"/>
  <c r="BA13" i="1"/>
  <c r="AY20" i="1"/>
  <c r="AY19" i="1"/>
  <c r="AY17" i="1"/>
  <c r="AY16" i="1"/>
  <c r="AY14" i="1"/>
  <c r="AY13" i="1"/>
  <c r="BC7" i="1"/>
  <c r="BC8" i="1"/>
  <c r="BC9" i="1"/>
  <c r="BC10" i="1"/>
  <c r="BC11" i="1"/>
  <c r="BA7" i="1"/>
  <c r="BA8" i="1"/>
  <c r="BA9" i="1"/>
  <c r="BA10" i="1"/>
  <c r="BA11" i="1"/>
  <c r="BE7" i="1"/>
  <c r="BF7" i="1"/>
  <c r="BG7" i="1"/>
  <c r="BH7" i="1"/>
  <c r="BI7" i="1"/>
  <c r="BE8" i="1"/>
  <c r="BF8" i="1"/>
  <c r="BG8" i="1"/>
  <c r="BH8" i="1"/>
  <c r="BI8" i="1"/>
  <c r="BE9" i="1"/>
  <c r="BF9" i="1"/>
  <c r="BG9" i="1"/>
  <c r="BH9" i="1"/>
  <c r="BI9" i="1"/>
  <c r="BE10" i="1"/>
  <c r="BF10" i="1"/>
  <c r="BG10" i="1"/>
  <c r="BH10" i="1"/>
  <c r="BI10" i="1"/>
  <c r="BE11" i="1"/>
  <c r="BF11" i="1"/>
  <c r="BG11" i="1"/>
  <c r="BH11" i="1"/>
  <c r="BI11" i="1"/>
  <c r="BH6" i="1"/>
  <c r="BI6" i="1"/>
  <c r="BG6" i="1"/>
  <c r="BF6" i="1"/>
  <c r="BE6" i="1"/>
  <c r="BC6" i="1"/>
  <c r="BA6" i="1"/>
  <c r="AY7" i="1"/>
  <c r="AY8" i="1"/>
  <c r="AY9" i="1"/>
  <c r="AY10" i="1"/>
  <c r="AY11" i="1"/>
  <c r="AY6" i="1"/>
  <c r="AC39" i="1"/>
  <c r="AC38" i="1"/>
  <c r="AE35" i="1"/>
  <c r="AE36" i="1"/>
  <c r="AE34" i="1"/>
  <c r="AC35" i="1"/>
  <c r="AC36" i="1"/>
  <c r="AC34" i="1"/>
  <c r="AG24" i="1"/>
  <c r="AG25" i="1"/>
  <c r="AG26" i="1"/>
  <c r="AG27" i="1"/>
  <c r="AG28" i="1"/>
  <c r="AG29" i="1"/>
  <c r="AG30" i="1"/>
  <c r="AG31" i="1"/>
  <c r="AG32" i="1"/>
  <c r="AE24" i="1"/>
  <c r="AE25" i="1"/>
  <c r="AE26" i="1"/>
  <c r="AE27" i="1"/>
  <c r="AE28" i="1"/>
  <c r="AE29" i="1"/>
  <c r="AE30" i="1"/>
  <c r="AE31" i="1"/>
  <c r="AE32" i="1"/>
  <c r="AC24" i="1"/>
  <c r="AC25" i="1"/>
  <c r="AC26" i="1"/>
  <c r="AC27" i="1"/>
  <c r="AC28" i="1"/>
  <c r="AC29" i="1"/>
  <c r="AC30" i="1"/>
  <c r="AC31" i="1"/>
  <c r="AC32" i="1"/>
  <c r="AG23" i="1"/>
  <c r="AE23" i="1"/>
  <c r="AC23" i="1"/>
  <c r="AG20" i="1"/>
  <c r="AG19" i="1"/>
  <c r="AG17" i="1"/>
  <c r="AG16" i="1"/>
  <c r="AG14" i="1"/>
  <c r="AG13" i="1"/>
  <c r="AE20" i="1"/>
  <c r="AE19" i="1"/>
  <c r="AE17" i="1"/>
  <c r="AE16" i="1"/>
  <c r="AE14" i="1"/>
  <c r="AE13" i="1"/>
  <c r="AC20" i="1"/>
  <c r="AC19" i="1"/>
  <c r="AC17" i="1"/>
  <c r="AC16" i="1"/>
  <c r="AC14" i="1"/>
  <c r="AC13" i="1"/>
  <c r="AG7" i="1"/>
  <c r="AG8" i="1"/>
  <c r="AG9" i="1"/>
  <c r="AG10" i="1"/>
  <c r="AG11" i="1"/>
  <c r="AG6" i="1"/>
  <c r="AE7" i="1"/>
  <c r="AE8" i="1"/>
  <c r="AE9" i="1"/>
  <c r="AE10" i="1"/>
  <c r="AE11" i="1"/>
  <c r="AE6" i="1"/>
  <c r="AC7" i="1"/>
  <c r="AC8" i="1"/>
  <c r="AC9" i="1"/>
  <c r="AC10" i="1"/>
  <c r="AC11" i="1"/>
  <c r="AC6" i="1"/>
  <c r="AK66" i="1"/>
  <c r="AL66" i="1"/>
  <c r="AM66" i="1"/>
  <c r="AK67" i="1"/>
  <c r="AL67" i="1"/>
  <c r="AM67" i="1"/>
  <c r="AK68" i="1"/>
  <c r="AL68" i="1"/>
  <c r="AM68" i="1"/>
  <c r="AK69" i="1"/>
  <c r="AL69" i="1"/>
  <c r="AM69" i="1"/>
  <c r="AK70" i="1"/>
  <c r="AL70" i="1"/>
  <c r="AM70" i="1"/>
  <c r="AK71" i="1"/>
  <c r="AL71" i="1"/>
  <c r="AM71" i="1"/>
  <c r="AK72" i="1"/>
  <c r="AL72" i="1"/>
  <c r="AM72" i="1"/>
  <c r="AK73" i="1"/>
  <c r="AL73" i="1"/>
  <c r="AM73" i="1"/>
  <c r="AK74" i="1"/>
  <c r="AL74" i="1"/>
  <c r="AM74" i="1"/>
  <c r="AK75" i="1"/>
  <c r="AL75" i="1"/>
  <c r="AM75" i="1"/>
  <c r="AK76" i="1"/>
  <c r="AL76" i="1"/>
  <c r="AM76" i="1"/>
  <c r="AK77" i="1"/>
  <c r="AL77" i="1"/>
  <c r="AM77" i="1"/>
  <c r="AK78" i="1"/>
  <c r="AL78" i="1"/>
  <c r="AM78" i="1"/>
  <c r="AL65" i="1"/>
  <c r="AM65" i="1"/>
  <c r="AK65" i="1"/>
  <c r="AL61" i="1"/>
  <c r="AM61" i="1"/>
  <c r="AL62" i="1"/>
  <c r="AM62" i="1"/>
  <c r="AL63" i="1"/>
  <c r="AM63" i="1"/>
  <c r="AL60" i="1"/>
  <c r="AM60" i="1"/>
  <c r="AI58" i="1"/>
  <c r="AJ58" i="1"/>
  <c r="AK58" i="1"/>
  <c r="AL58" i="1"/>
  <c r="AM58" i="1"/>
  <c r="AL57" i="1"/>
  <c r="AM57" i="1"/>
  <c r="AK57" i="1"/>
  <c r="AJ57" i="1"/>
  <c r="AI57" i="1"/>
  <c r="AI54" i="1"/>
  <c r="AJ54" i="1"/>
  <c r="AK54" i="1"/>
  <c r="AL54" i="1"/>
  <c r="AM54" i="1"/>
  <c r="AI55" i="1"/>
  <c r="AJ55" i="1"/>
  <c r="AK55" i="1"/>
  <c r="AL55" i="1"/>
  <c r="AM55" i="1"/>
  <c r="AL53" i="1"/>
  <c r="AM53" i="1"/>
  <c r="AK53" i="1"/>
  <c r="AJ53" i="1"/>
  <c r="AI53" i="1"/>
  <c r="AI51" i="1"/>
  <c r="AJ51" i="1"/>
  <c r="AK51" i="1"/>
  <c r="AL51" i="1"/>
  <c r="AM51" i="1"/>
  <c r="AL50" i="1"/>
  <c r="AM50" i="1"/>
  <c r="AK50" i="1"/>
  <c r="AJ50" i="1"/>
  <c r="AI50" i="1"/>
  <c r="AI48" i="1"/>
  <c r="AJ48" i="1"/>
  <c r="AK48" i="1"/>
  <c r="AL48" i="1"/>
  <c r="AM48" i="1"/>
  <c r="AL47" i="1"/>
  <c r="AM47" i="1"/>
  <c r="AK47" i="1"/>
  <c r="AJ47" i="1"/>
  <c r="AI47" i="1"/>
  <c r="AI45" i="1"/>
  <c r="AJ45" i="1"/>
  <c r="AK45" i="1"/>
  <c r="AL45" i="1"/>
  <c r="AM45" i="1"/>
  <c r="AL44" i="1"/>
  <c r="AM44" i="1"/>
  <c r="AK44" i="1"/>
  <c r="AJ44" i="1"/>
  <c r="AI44" i="1"/>
  <c r="AI42" i="1"/>
  <c r="AJ42" i="1"/>
  <c r="AK42" i="1"/>
  <c r="AL42" i="1"/>
  <c r="AM42" i="1"/>
  <c r="AL41" i="1"/>
  <c r="AM41" i="1"/>
  <c r="AK41" i="1"/>
  <c r="AJ41" i="1"/>
  <c r="AI41" i="1"/>
  <c r="AI39" i="1"/>
  <c r="AJ39" i="1"/>
  <c r="AK39" i="1"/>
  <c r="AL39" i="1"/>
  <c r="AM39" i="1"/>
  <c r="AL38" i="1"/>
  <c r="AM38" i="1"/>
  <c r="AK38" i="1"/>
  <c r="AJ38" i="1"/>
  <c r="AI38" i="1"/>
  <c r="AI35" i="1"/>
  <c r="AJ35" i="1"/>
  <c r="AK35" i="1"/>
  <c r="AL35" i="1"/>
  <c r="AM35" i="1"/>
  <c r="AI36" i="1"/>
  <c r="AJ36" i="1"/>
  <c r="AK36" i="1"/>
  <c r="AL36" i="1"/>
  <c r="AM36" i="1"/>
  <c r="AL34" i="1"/>
  <c r="AM34" i="1"/>
  <c r="AK34" i="1"/>
  <c r="AJ34" i="1"/>
  <c r="AI34" i="1"/>
  <c r="AK24" i="1"/>
  <c r="AL24" i="1"/>
  <c r="AM24" i="1"/>
  <c r="AK25" i="1"/>
  <c r="AL25" i="1"/>
  <c r="AM25" i="1"/>
  <c r="AK26" i="1"/>
  <c r="AL26" i="1"/>
  <c r="AM26" i="1"/>
  <c r="AK27" i="1"/>
  <c r="AL27" i="1"/>
  <c r="AM27" i="1"/>
  <c r="AK28" i="1"/>
  <c r="AL28" i="1"/>
  <c r="AM28" i="1"/>
  <c r="AK29" i="1"/>
  <c r="AL29" i="1"/>
  <c r="AM29" i="1"/>
  <c r="AK30" i="1"/>
  <c r="AL30" i="1"/>
  <c r="AM30" i="1"/>
  <c r="AK31" i="1"/>
  <c r="AL31" i="1"/>
  <c r="AM31" i="1"/>
  <c r="AK32" i="1"/>
  <c r="AL32" i="1"/>
  <c r="AM32" i="1"/>
  <c r="AM23" i="1"/>
  <c r="AK23" i="1"/>
  <c r="AL23" i="1"/>
  <c r="AK17" i="1"/>
  <c r="AL17" i="1"/>
  <c r="AM17" i="1"/>
  <c r="AK20" i="1"/>
  <c r="AL20" i="1"/>
  <c r="AM20" i="1"/>
  <c r="AM19" i="1"/>
  <c r="AK19" i="1"/>
  <c r="AL19" i="1"/>
  <c r="AL16" i="1"/>
  <c r="AM16" i="1"/>
  <c r="AK16" i="1"/>
  <c r="AK14" i="1"/>
  <c r="AL14" i="1"/>
  <c r="AM14" i="1"/>
  <c r="AL13" i="1"/>
  <c r="AM13" i="1"/>
  <c r="AK13" i="1"/>
  <c r="AK7" i="1"/>
  <c r="AL7" i="1"/>
  <c r="AM7" i="1"/>
  <c r="AK8" i="1"/>
  <c r="AL8" i="1"/>
  <c r="AM8" i="1"/>
  <c r="AK9" i="1"/>
  <c r="AL9" i="1"/>
  <c r="AM9" i="1"/>
  <c r="AK10" i="1"/>
  <c r="AL10" i="1"/>
  <c r="AM10" i="1"/>
  <c r="AK11" i="1"/>
  <c r="AL11" i="1"/>
  <c r="AM11" i="1"/>
  <c r="AM6" i="1"/>
  <c r="AL6" i="1"/>
  <c r="AK6" i="1"/>
  <c r="M55" i="1"/>
  <c r="N55" i="1"/>
  <c r="O55" i="1"/>
  <c r="P55" i="1"/>
  <c r="Q55" i="1"/>
  <c r="Q14" i="1"/>
  <c r="Q13" i="1"/>
  <c r="P62" i="1"/>
  <c r="Q62" i="1"/>
  <c r="P63" i="1"/>
  <c r="Q63" i="1"/>
  <c r="P60" i="1"/>
  <c r="Q60" i="1"/>
  <c r="P61" i="1"/>
  <c r="Q61" i="1"/>
  <c r="M57" i="1"/>
  <c r="N57" i="1"/>
  <c r="O57" i="1"/>
  <c r="P57" i="1"/>
  <c r="Q57" i="1"/>
  <c r="M58" i="1"/>
  <c r="N58" i="1"/>
  <c r="O58" i="1"/>
  <c r="P58" i="1"/>
  <c r="Q58" i="1"/>
  <c r="M53" i="1"/>
  <c r="N53" i="1"/>
  <c r="O53" i="1"/>
  <c r="P53" i="1"/>
  <c r="Q53" i="1"/>
  <c r="M54" i="1"/>
  <c r="N54" i="1"/>
  <c r="O54" i="1"/>
  <c r="P54" i="1"/>
  <c r="Q54" i="1"/>
  <c r="M50" i="1"/>
  <c r="N50" i="1"/>
  <c r="O50" i="1"/>
  <c r="P50" i="1"/>
  <c r="Q50" i="1"/>
  <c r="M51" i="1"/>
  <c r="N51" i="1"/>
  <c r="O51" i="1"/>
  <c r="P51" i="1"/>
  <c r="Q51" i="1"/>
  <c r="M47" i="1"/>
  <c r="N47" i="1"/>
  <c r="O47" i="1"/>
  <c r="P47" i="1"/>
  <c r="Q47" i="1"/>
  <c r="M48" i="1"/>
  <c r="N48" i="1"/>
  <c r="O48" i="1"/>
  <c r="P48" i="1"/>
  <c r="Q48" i="1"/>
  <c r="M45" i="1"/>
  <c r="N45" i="1"/>
  <c r="O45" i="1"/>
  <c r="P45" i="1"/>
  <c r="Q45" i="1"/>
  <c r="Q44" i="1"/>
  <c r="O44" i="1"/>
  <c r="N44" i="1"/>
  <c r="M44" i="1"/>
  <c r="M42" i="1"/>
  <c r="N42" i="1"/>
  <c r="O42" i="1"/>
  <c r="P42" i="1"/>
  <c r="Q42" i="1"/>
  <c r="Q41" i="1"/>
  <c r="O41" i="1"/>
  <c r="N41" i="1"/>
  <c r="M41" i="1"/>
  <c r="M39" i="1"/>
  <c r="N39" i="1"/>
  <c r="O39" i="1"/>
  <c r="P39" i="1"/>
  <c r="Q39" i="1"/>
  <c r="Q38" i="1"/>
  <c r="O38" i="1"/>
  <c r="N38" i="1"/>
  <c r="M38" i="1"/>
  <c r="M35" i="1"/>
  <c r="N35" i="1"/>
  <c r="O35" i="1"/>
  <c r="P35" i="1"/>
  <c r="Q35" i="1"/>
  <c r="M36" i="1"/>
  <c r="N36" i="1"/>
  <c r="O36" i="1"/>
  <c r="P36" i="1"/>
  <c r="Q36" i="1"/>
  <c r="Q34" i="1"/>
  <c r="O34" i="1"/>
  <c r="N34" i="1"/>
  <c r="M34" i="1"/>
  <c r="M24" i="1"/>
  <c r="N24" i="1"/>
  <c r="O24" i="1"/>
  <c r="P24" i="1"/>
  <c r="Q24" i="1"/>
  <c r="M25" i="1"/>
  <c r="N25" i="1"/>
  <c r="O25" i="1"/>
  <c r="P25" i="1"/>
  <c r="Q25" i="1"/>
  <c r="M26" i="1"/>
  <c r="N26" i="1"/>
  <c r="O26" i="1"/>
  <c r="P26" i="1"/>
  <c r="Q26" i="1"/>
  <c r="M27" i="1"/>
  <c r="N27" i="1"/>
  <c r="O27" i="1"/>
  <c r="P27" i="1"/>
  <c r="Q27" i="1"/>
  <c r="M28" i="1"/>
  <c r="N28" i="1"/>
  <c r="O28" i="1"/>
  <c r="P28" i="1"/>
  <c r="Q28" i="1"/>
  <c r="M29" i="1"/>
  <c r="N29" i="1"/>
  <c r="O29" i="1"/>
  <c r="P29" i="1"/>
  <c r="Q29" i="1"/>
  <c r="M30" i="1"/>
  <c r="N30" i="1"/>
  <c r="O30" i="1"/>
  <c r="P30" i="1"/>
  <c r="Q30" i="1"/>
  <c r="M31" i="1"/>
  <c r="N31" i="1"/>
  <c r="O31" i="1"/>
  <c r="P31" i="1"/>
  <c r="Q31" i="1"/>
  <c r="M32" i="1"/>
  <c r="N32" i="1"/>
  <c r="O32" i="1"/>
  <c r="P32" i="1"/>
  <c r="Q32" i="1"/>
  <c r="O66" i="1"/>
  <c r="P66" i="1"/>
  <c r="Q66" i="1"/>
  <c r="O67" i="1"/>
  <c r="P67" i="1"/>
  <c r="Q67" i="1"/>
  <c r="O68" i="1"/>
  <c r="P68" i="1"/>
  <c r="Q68" i="1"/>
  <c r="O69" i="1"/>
  <c r="P69" i="1"/>
  <c r="Q69" i="1"/>
  <c r="O70" i="1"/>
  <c r="P70" i="1"/>
  <c r="Q70" i="1"/>
  <c r="O71" i="1"/>
  <c r="P71" i="1"/>
  <c r="Q71" i="1"/>
  <c r="O72" i="1"/>
  <c r="P72" i="1"/>
  <c r="Q72" i="1"/>
  <c r="O73" i="1"/>
  <c r="P73" i="1"/>
  <c r="Q73" i="1"/>
  <c r="O74" i="1"/>
  <c r="P74" i="1"/>
  <c r="Q74" i="1"/>
  <c r="O75" i="1"/>
  <c r="P75" i="1"/>
  <c r="Q75" i="1"/>
  <c r="O76" i="1"/>
  <c r="P76" i="1"/>
  <c r="Q76" i="1"/>
  <c r="O77" i="1"/>
  <c r="P77" i="1"/>
  <c r="Q77" i="1"/>
  <c r="O78" i="1"/>
  <c r="P78" i="1"/>
  <c r="Q78" i="1"/>
  <c r="Q65" i="1"/>
  <c r="O65" i="1"/>
  <c r="P65" i="1"/>
  <c r="AZ108" i="1"/>
  <c r="AZ109" i="1"/>
  <c r="P44" i="1"/>
  <c r="P41" i="1"/>
  <c r="P38" i="1"/>
  <c r="P34" i="1"/>
  <c r="P23" i="1"/>
  <c r="Q23" i="1"/>
  <c r="O23" i="1"/>
  <c r="N23" i="1"/>
  <c r="M23" i="1"/>
  <c r="K24" i="1"/>
  <c r="K25" i="1"/>
  <c r="K26" i="1"/>
  <c r="K27" i="1"/>
  <c r="K28" i="1"/>
  <c r="K29" i="1"/>
  <c r="K30" i="1"/>
  <c r="K31" i="1"/>
  <c r="K32" i="1"/>
  <c r="K23" i="1"/>
  <c r="I24" i="1"/>
  <c r="I25" i="1"/>
  <c r="I26" i="1"/>
  <c r="I27" i="1"/>
  <c r="I28" i="1"/>
  <c r="I29" i="1"/>
  <c r="I30" i="1"/>
  <c r="I31" i="1"/>
  <c r="I32" i="1"/>
  <c r="I23" i="1"/>
  <c r="G24" i="1"/>
  <c r="G25" i="1"/>
  <c r="G26" i="1"/>
  <c r="G27" i="1"/>
  <c r="G28" i="1"/>
  <c r="G29" i="1"/>
  <c r="G30" i="1"/>
  <c r="G31" i="1"/>
  <c r="G32" i="1"/>
  <c r="G23" i="1"/>
  <c r="K20" i="1"/>
  <c r="K19" i="1"/>
  <c r="I20" i="1"/>
  <c r="I19" i="1"/>
  <c r="G20" i="1"/>
  <c r="G19" i="1"/>
  <c r="M20" i="1"/>
  <c r="N20" i="1"/>
  <c r="O20" i="1"/>
  <c r="P20" i="1"/>
  <c r="Q20" i="1"/>
  <c r="Q19" i="1"/>
  <c r="O19" i="1"/>
  <c r="N19" i="1"/>
  <c r="M19" i="1"/>
  <c r="M17" i="1"/>
  <c r="N17" i="1"/>
  <c r="O17" i="1"/>
  <c r="P17" i="1"/>
  <c r="Q17" i="1"/>
  <c r="P19" i="1"/>
  <c r="P16" i="1"/>
  <c r="Q16" i="1"/>
  <c r="O16" i="1"/>
  <c r="N16" i="1"/>
  <c r="M16" i="1"/>
  <c r="K17" i="1"/>
  <c r="K16" i="1"/>
  <c r="I17" i="1"/>
  <c r="I16" i="1"/>
  <c r="G17" i="1"/>
  <c r="G16" i="1"/>
  <c r="P13" i="1"/>
  <c r="P14" i="1"/>
  <c r="N14" i="1"/>
  <c r="O14" i="1"/>
  <c r="O13" i="1"/>
  <c r="N13" i="1"/>
  <c r="M14" i="1"/>
  <c r="M13" i="1"/>
  <c r="K14" i="1"/>
  <c r="K13" i="1"/>
  <c r="I14" i="1"/>
  <c r="I13" i="1"/>
  <c r="G14" i="1"/>
  <c r="G13" i="1"/>
  <c r="P7" i="1"/>
  <c r="P8" i="1"/>
  <c r="P9" i="1"/>
  <c r="P10" i="1"/>
  <c r="P11" i="1"/>
  <c r="P6" i="1"/>
  <c r="K7" i="1"/>
  <c r="K8" i="1"/>
  <c r="K9" i="1"/>
  <c r="K10" i="1"/>
  <c r="K11" i="1"/>
  <c r="K6" i="1"/>
  <c r="I7" i="1"/>
  <c r="I8" i="1"/>
  <c r="I9" i="1"/>
  <c r="I10" i="1"/>
  <c r="I11" i="1"/>
  <c r="I6" i="1"/>
  <c r="G7" i="1"/>
  <c r="G8" i="1"/>
  <c r="G9" i="1"/>
  <c r="G10" i="1"/>
  <c r="G11" i="1"/>
  <c r="G6" i="1"/>
  <c r="S79" i="8"/>
  <c r="S20" i="8"/>
  <c r="S78" i="8"/>
  <c r="ES66" i="1"/>
  <c r="ES67" i="1"/>
  <c r="ES68" i="1"/>
  <c r="ES69" i="1"/>
  <c r="ES70" i="1"/>
  <c r="ES71" i="1"/>
  <c r="ES72" i="1"/>
  <c r="ES73" i="1"/>
  <c r="ES74" i="1"/>
  <c r="ES75" i="1"/>
  <c r="ES76" i="1"/>
  <c r="ES77" i="1"/>
  <c r="ES78" i="1"/>
  <c r="ES65" i="1"/>
  <c r="EQ66" i="1"/>
  <c r="EQ67" i="1"/>
  <c r="EQ68" i="1"/>
  <c r="EQ69" i="1"/>
  <c r="EQ70" i="1"/>
  <c r="EQ71" i="1"/>
  <c r="EQ72" i="1"/>
  <c r="EQ73" i="1"/>
  <c r="EQ74" i="1"/>
  <c r="EQ75" i="1"/>
  <c r="EQ76" i="1"/>
  <c r="EQ77" i="1"/>
  <c r="EQ78" i="1"/>
  <c r="EQ65" i="1"/>
  <c r="EO39" i="1"/>
  <c r="EP39" i="1"/>
  <c r="ER39" i="1"/>
  <c r="ES39" i="1"/>
  <c r="ER38" i="1"/>
  <c r="ES38" i="1"/>
  <c r="EP38" i="1"/>
  <c r="EO38" i="1"/>
  <c r="EM51" i="1"/>
  <c r="EK51" i="1"/>
  <c r="EI51" i="1"/>
  <c r="EM50" i="1"/>
  <c r="EK50" i="1"/>
  <c r="EI50" i="1"/>
  <c r="EM48" i="1"/>
  <c r="EK48" i="1"/>
  <c r="EI48" i="1"/>
  <c r="EM47" i="1"/>
  <c r="EK47" i="1"/>
  <c r="EI47" i="1"/>
  <c r="EM45" i="1"/>
  <c r="EK45" i="1"/>
  <c r="EI45" i="1"/>
  <c r="EM44" i="1"/>
  <c r="EK44" i="1"/>
  <c r="EI44" i="1"/>
  <c r="EM42" i="1"/>
  <c r="EK42" i="1"/>
  <c r="EI42" i="1"/>
  <c r="EI41" i="1"/>
  <c r="EM41" i="1"/>
  <c r="EK41" i="1"/>
  <c r="EK39" i="1"/>
  <c r="EM39" i="1"/>
  <c r="EM38" i="1"/>
  <c r="EK38" i="1"/>
  <c r="EI39" i="1"/>
  <c r="EI38" i="1"/>
  <c r="EM54" i="1"/>
  <c r="EM55" i="1"/>
  <c r="EM53" i="1"/>
  <c r="EK54" i="1"/>
  <c r="EK55" i="1"/>
  <c r="EK53" i="1"/>
  <c r="EI54" i="1"/>
  <c r="EI55" i="1"/>
  <c r="EI53" i="1"/>
  <c r="EM58" i="1"/>
  <c r="EK58" i="1"/>
  <c r="EM57" i="1"/>
  <c r="EK57" i="1"/>
  <c r="EI58" i="1"/>
  <c r="EI57" i="1"/>
  <c r="EM61" i="1"/>
  <c r="EM62" i="1"/>
  <c r="EM63" i="1"/>
  <c r="EM60" i="1"/>
  <c r="EK61" i="1"/>
  <c r="EK62" i="1"/>
  <c r="EK63" i="1"/>
  <c r="EK60" i="1"/>
  <c r="EI61" i="1"/>
  <c r="EI60" i="1"/>
  <c r="EM66" i="1"/>
  <c r="EM67" i="1"/>
  <c r="EM68" i="1"/>
  <c r="EM69" i="1"/>
  <c r="EM70" i="1"/>
  <c r="EM71" i="1"/>
  <c r="EM72" i="1"/>
  <c r="EM73" i="1"/>
  <c r="EM74" i="1"/>
  <c r="EM75" i="1"/>
  <c r="EM76" i="1"/>
  <c r="EM77" i="1"/>
  <c r="EM78" i="1"/>
  <c r="EM65" i="1"/>
  <c r="EK66" i="1"/>
  <c r="EK67" i="1"/>
  <c r="EK68" i="1"/>
  <c r="EK69" i="1"/>
  <c r="EK70" i="1"/>
  <c r="EK71" i="1"/>
  <c r="EK72" i="1"/>
  <c r="EK73" i="1"/>
  <c r="EK74" i="1"/>
  <c r="EK75" i="1"/>
  <c r="EK76" i="1"/>
  <c r="EK77" i="1"/>
  <c r="EK78" i="1"/>
  <c r="EK65" i="1"/>
  <c r="EI66" i="1"/>
  <c r="EI67" i="1"/>
  <c r="EI68" i="1"/>
  <c r="EI69" i="1"/>
  <c r="EI70" i="1"/>
  <c r="EI71" i="1"/>
  <c r="EI72" i="1"/>
  <c r="EI73" i="1"/>
  <c r="EI74" i="1"/>
  <c r="EI75" i="1"/>
  <c r="EI76" i="1"/>
  <c r="EI77" i="1"/>
  <c r="EI78" i="1"/>
  <c r="EI65" i="1"/>
  <c r="EM24" i="1"/>
  <c r="EM25" i="1"/>
  <c r="EM26" i="1"/>
  <c r="EM27" i="1"/>
  <c r="EM28" i="1"/>
  <c r="EM29" i="1"/>
  <c r="EM30" i="1"/>
  <c r="EM31" i="1"/>
  <c r="EM32" i="1"/>
  <c r="EK24" i="1"/>
  <c r="EK25" i="1"/>
  <c r="EK26" i="1"/>
  <c r="EK27" i="1"/>
  <c r="EK28" i="1"/>
  <c r="EK29" i="1"/>
  <c r="EK30" i="1"/>
  <c r="EK31" i="1"/>
  <c r="EK32" i="1"/>
  <c r="EI24" i="1"/>
  <c r="EI25" i="1"/>
  <c r="EI26" i="1"/>
  <c r="EI27" i="1"/>
  <c r="EI28" i="1"/>
  <c r="EI29" i="1"/>
  <c r="EI30" i="1"/>
  <c r="EI31" i="1"/>
  <c r="EI32" i="1"/>
  <c r="EM23" i="1"/>
  <c r="EK23" i="1"/>
  <c r="EI23" i="1"/>
  <c r="EM35" i="1"/>
  <c r="EM36" i="1"/>
  <c r="EK35" i="1"/>
  <c r="EK36" i="1"/>
  <c r="EI35" i="1"/>
  <c r="EI36" i="1"/>
  <c r="EM34" i="1"/>
  <c r="EK34" i="1"/>
  <c r="EI34" i="1"/>
  <c r="EO35" i="1"/>
  <c r="EP35" i="1"/>
  <c r="EQ35" i="1"/>
  <c r="ER35" i="1"/>
  <c r="ES35" i="1"/>
  <c r="EO36" i="1"/>
  <c r="EP36" i="1"/>
  <c r="EQ36" i="1"/>
  <c r="ER36" i="1"/>
  <c r="ES36" i="1"/>
  <c r="ER34" i="1"/>
  <c r="ES34" i="1"/>
  <c r="EQ34" i="1"/>
  <c r="EP34" i="1"/>
  <c r="EO34" i="1"/>
  <c r="EO24" i="1"/>
  <c r="EP24" i="1"/>
  <c r="EQ24" i="1"/>
  <c r="ER24" i="1"/>
  <c r="ES24" i="1"/>
  <c r="EO25" i="1"/>
  <c r="EP25" i="1"/>
  <c r="EQ25" i="1"/>
  <c r="ER25" i="1"/>
  <c r="ES25" i="1"/>
  <c r="EO26" i="1"/>
  <c r="EP26" i="1"/>
  <c r="EQ26" i="1"/>
  <c r="ER26" i="1"/>
  <c r="ES26" i="1"/>
  <c r="EO27" i="1"/>
  <c r="EP27" i="1"/>
  <c r="EQ27" i="1"/>
  <c r="ER27" i="1"/>
  <c r="ES27" i="1"/>
  <c r="EO28" i="1"/>
  <c r="EP28" i="1"/>
  <c r="EQ28" i="1"/>
  <c r="ER28" i="1"/>
  <c r="ES28" i="1"/>
  <c r="EO29" i="1"/>
  <c r="EP29" i="1"/>
  <c r="EQ29" i="1"/>
  <c r="ER29" i="1"/>
  <c r="ES29" i="1"/>
  <c r="EO30" i="1"/>
  <c r="EP30" i="1"/>
  <c r="EQ30" i="1"/>
  <c r="ER30" i="1"/>
  <c r="ES30" i="1"/>
  <c r="EO31" i="1"/>
  <c r="EP31" i="1"/>
  <c r="EQ31" i="1"/>
  <c r="ER31" i="1"/>
  <c r="ES31" i="1"/>
  <c r="EO32" i="1"/>
  <c r="EP32" i="1"/>
  <c r="EQ32" i="1"/>
  <c r="ER32" i="1"/>
  <c r="ES32" i="1"/>
  <c r="ER23" i="1"/>
  <c r="ES23" i="1"/>
  <c r="EQ23" i="1"/>
  <c r="EP23" i="1"/>
  <c r="EO23" i="1"/>
  <c r="EM20" i="1"/>
  <c r="EM19" i="1"/>
  <c r="EM17" i="1"/>
  <c r="EM16" i="1"/>
  <c r="EM14" i="1"/>
  <c r="EM13" i="1"/>
  <c r="EK13" i="1"/>
  <c r="EK14" i="1"/>
  <c r="EK20" i="1"/>
  <c r="EK19" i="1"/>
  <c r="EK17" i="1"/>
  <c r="EK16" i="1"/>
  <c r="EI20" i="1"/>
  <c r="EI19" i="1"/>
  <c r="EI17" i="1"/>
  <c r="EI14" i="1"/>
  <c r="EI13" i="1"/>
  <c r="EI16" i="1"/>
  <c r="EO20" i="1"/>
  <c r="EP20" i="1"/>
  <c r="EQ20" i="1"/>
  <c r="ER20" i="1"/>
  <c r="ES20" i="1"/>
  <c r="ER19" i="1"/>
  <c r="ES19" i="1"/>
  <c r="EQ19" i="1"/>
  <c r="EP19" i="1"/>
  <c r="EO19" i="1"/>
  <c r="ES17" i="1"/>
  <c r="EO17" i="1"/>
  <c r="EP17" i="1"/>
  <c r="EQ17" i="1"/>
  <c r="ER17" i="1"/>
  <c r="ER16" i="1"/>
  <c r="ES16" i="1"/>
  <c r="EQ16" i="1"/>
  <c r="EP16" i="1"/>
  <c r="EO16" i="1"/>
  <c r="EQ14" i="1"/>
  <c r="EQ13" i="1"/>
  <c r="EO14" i="1"/>
  <c r="EP14" i="1"/>
  <c r="ER14" i="1"/>
  <c r="ES14" i="1"/>
  <c r="ER13" i="1"/>
  <c r="ES13" i="1"/>
  <c r="EP13" i="1"/>
  <c r="EO13" i="1"/>
  <c r="EO7" i="1"/>
  <c r="EP7" i="1"/>
  <c r="EQ7" i="1"/>
  <c r="ER7" i="1"/>
  <c r="ES7" i="1"/>
  <c r="EO8" i="1"/>
  <c r="EP8" i="1"/>
  <c r="EQ8" i="1"/>
  <c r="ER8" i="1"/>
  <c r="ES8" i="1"/>
  <c r="EO9" i="1"/>
  <c r="EP9" i="1"/>
  <c r="EQ9" i="1"/>
  <c r="ER9" i="1"/>
  <c r="ES9" i="1"/>
  <c r="EO10" i="1"/>
  <c r="EP10" i="1"/>
  <c r="EQ10" i="1"/>
  <c r="ER10" i="1"/>
  <c r="ES10" i="1"/>
  <c r="EO11" i="1"/>
  <c r="EP11" i="1"/>
  <c r="EQ11" i="1"/>
  <c r="ER11" i="1"/>
  <c r="ES11" i="1"/>
  <c r="ER6" i="1"/>
  <c r="ES6" i="1"/>
  <c r="EQ6" i="1"/>
  <c r="EP6" i="1"/>
  <c r="EO6" i="1"/>
  <c r="EM7" i="1"/>
  <c r="EM8" i="1"/>
  <c r="EM9" i="1"/>
  <c r="EM10" i="1"/>
  <c r="EM11" i="1"/>
  <c r="EM6" i="1"/>
  <c r="EK7" i="1"/>
  <c r="EK8" i="1"/>
  <c r="EK9" i="1"/>
  <c r="EK10" i="1"/>
  <c r="EK11" i="1"/>
  <c r="EK6" i="1"/>
  <c r="EI7" i="1"/>
  <c r="EI8" i="1"/>
  <c r="EI9" i="1"/>
  <c r="EI10" i="1"/>
  <c r="EI11" i="1"/>
  <c r="EI6" i="1"/>
  <c r="FI66" i="1"/>
  <c r="FI67" i="1"/>
  <c r="FI68" i="1"/>
  <c r="FI69" i="1"/>
  <c r="FI70" i="1"/>
  <c r="FI71" i="1"/>
  <c r="FI72" i="1"/>
  <c r="FI73" i="1"/>
  <c r="FI74" i="1"/>
  <c r="FI75" i="1"/>
  <c r="FI76" i="1"/>
  <c r="FI77" i="1"/>
  <c r="FI78" i="1"/>
  <c r="FI65" i="1"/>
  <c r="FG66" i="1"/>
  <c r="FG67" i="1"/>
  <c r="FG68" i="1"/>
  <c r="FG69" i="1"/>
  <c r="FG70" i="1"/>
  <c r="FG71" i="1"/>
  <c r="FG72" i="1"/>
  <c r="FG73" i="1"/>
  <c r="FG74" i="1"/>
  <c r="FG75" i="1"/>
  <c r="FG76" i="1"/>
  <c r="FG77" i="1"/>
  <c r="FG78" i="1"/>
  <c r="FG65" i="1"/>
  <c r="FI61" i="1"/>
  <c r="FI62" i="1"/>
  <c r="FI63" i="1"/>
  <c r="FI60" i="1"/>
  <c r="FG61" i="1"/>
  <c r="FG62" i="1"/>
  <c r="FG63" i="1"/>
  <c r="FG60" i="1"/>
  <c r="FI58" i="1"/>
  <c r="FG58" i="1"/>
  <c r="FE58" i="1"/>
  <c r="FI57" i="1"/>
  <c r="FG57" i="1"/>
  <c r="FE57" i="1"/>
  <c r="FI54" i="1"/>
  <c r="FI55" i="1"/>
  <c r="FG54" i="1"/>
  <c r="FG55" i="1"/>
  <c r="FE54" i="1"/>
  <c r="FE55" i="1"/>
  <c r="FI53" i="1"/>
  <c r="FG53" i="1"/>
  <c r="FE53" i="1"/>
  <c r="FI51" i="1"/>
  <c r="FG51" i="1"/>
  <c r="FE51" i="1"/>
  <c r="FI50" i="1"/>
  <c r="FG50" i="1"/>
  <c r="FE50" i="1"/>
  <c r="FI48" i="1"/>
  <c r="FG48" i="1"/>
  <c r="FE48" i="1"/>
  <c r="FE47" i="1"/>
  <c r="FI47" i="1"/>
  <c r="FG47" i="1"/>
  <c r="FI45" i="1"/>
  <c r="FG45" i="1"/>
  <c r="FE45" i="1"/>
  <c r="FI44" i="1"/>
  <c r="FG44" i="1"/>
  <c r="FE44" i="1"/>
  <c r="FI42" i="1"/>
  <c r="FG42" i="1"/>
  <c r="FE42" i="1"/>
  <c r="FI41" i="1"/>
  <c r="FG41" i="1"/>
  <c r="FE41" i="1"/>
  <c r="FI39" i="1"/>
  <c r="FG39" i="1"/>
  <c r="FE39" i="1"/>
  <c r="FI38" i="1"/>
  <c r="FG38" i="1"/>
  <c r="FE38" i="1"/>
  <c r="FI35" i="1"/>
  <c r="FI36" i="1"/>
  <c r="FG35" i="1"/>
  <c r="FG36" i="1"/>
  <c r="FE35" i="1"/>
  <c r="FE36" i="1"/>
  <c r="FI34" i="1"/>
  <c r="FG34" i="1"/>
  <c r="FE34" i="1"/>
  <c r="FI24" i="1"/>
  <c r="FI25" i="1"/>
  <c r="FI26" i="1"/>
  <c r="FI27" i="1"/>
  <c r="FI28" i="1"/>
  <c r="FI29" i="1"/>
  <c r="FI30" i="1"/>
  <c r="FI31" i="1"/>
  <c r="FI32" i="1"/>
  <c r="FG24" i="1"/>
  <c r="FG25" i="1"/>
  <c r="FG26" i="1"/>
  <c r="FG27" i="1"/>
  <c r="FG28" i="1"/>
  <c r="FG29" i="1"/>
  <c r="FG30" i="1"/>
  <c r="FG31" i="1"/>
  <c r="FG32" i="1"/>
  <c r="FE24" i="1"/>
  <c r="FE25" i="1"/>
  <c r="FE26" i="1"/>
  <c r="FE27" i="1"/>
  <c r="FE28" i="1"/>
  <c r="FE29" i="1"/>
  <c r="FE30" i="1"/>
  <c r="FE31" i="1"/>
  <c r="FE32" i="1"/>
  <c r="FI23" i="1"/>
  <c r="FG23" i="1"/>
  <c r="FE23" i="1"/>
  <c r="FI20" i="1"/>
  <c r="FG20" i="1"/>
  <c r="FE20" i="1"/>
  <c r="FI19" i="1"/>
  <c r="FG19" i="1"/>
  <c r="FE19" i="1"/>
  <c r="FI17" i="1"/>
  <c r="FG17" i="1"/>
  <c r="FE17" i="1"/>
  <c r="FI16" i="1"/>
  <c r="FG16" i="1"/>
  <c r="FE16" i="1"/>
  <c r="FE14" i="1"/>
  <c r="FI14" i="1"/>
  <c r="FG14" i="1"/>
  <c r="FI13" i="1"/>
  <c r="FG13" i="1"/>
  <c r="FE13" i="1"/>
  <c r="FI7" i="1"/>
  <c r="FI8" i="1"/>
  <c r="FI9" i="1"/>
  <c r="FI10" i="1"/>
  <c r="FI11" i="1"/>
  <c r="FG7" i="1"/>
  <c r="FG8" i="1"/>
  <c r="FG9" i="1"/>
  <c r="FG10" i="1"/>
  <c r="FG11" i="1"/>
  <c r="FE7" i="1"/>
  <c r="FE8" i="1"/>
  <c r="FE9" i="1"/>
  <c r="FE10" i="1"/>
  <c r="FE11" i="1"/>
  <c r="FI6" i="1"/>
  <c r="FG6" i="1"/>
  <c r="FE6" i="1"/>
  <c r="FE61" i="1"/>
  <c r="FE66" i="1"/>
  <c r="FE67" i="1"/>
  <c r="FE68" i="1"/>
  <c r="FE69" i="1"/>
  <c r="FE70" i="1"/>
  <c r="FE71" i="1"/>
  <c r="FE72" i="1"/>
  <c r="FE73" i="1"/>
  <c r="FE74" i="1"/>
  <c r="FE75" i="1"/>
  <c r="FE76" i="1"/>
  <c r="FE77" i="1"/>
  <c r="FE78" i="1"/>
  <c r="FE65" i="1"/>
  <c r="FM66" i="1"/>
  <c r="FN66" i="1"/>
  <c r="FO66" i="1"/>
  <c r="FM67" i="1"/>
  <c r="FN67" i="1"/>
  <c r="FO67" i="1"/>
  <c r="FM68" i="1"/>
  <c r="FN68" i="1"/>
  <c r="FO68" i="1"/>
  <c r="FM69" i="1"/>
  <c r="FN69" i="1"/>
  <c r="FO69" i="1"/>
  <c r="FM70" i="1"/>
  <c r="FN70" i="1"/>
  <c r="FO70" i="1"/>
  <c r="FM71" i="1"/>
  <c r="FN71" i="1"/>
  <c r="FO71" i="1"/>
  <c r="FM72" i="1"/>
  <c r="FN72" i="1"/>
  <c r="FO72" i="1"/>
  <c r="FM73" i="1"/>
  <c r="FN73" i="1"/>
  <c r="FO73" i="1"/>
  <c r="FM74" i="1"/>
  <c r="FN74" i="1"/>
  <c r="FO74" i="1"/>
  <c r="FM75" i="1"/>
  <c r="FN75" i="1"/>
  <c r="FO75" i="1"/>
  <c r="FM76" i="1"/>
  <c r="FN76" i="1"/>
  <c r="FO76" i="1"/>
  <c r="FM77" i="1"/>
  <c r="FN77" i="1"/>
  <c r="FO77" i="1"/>
  <c r="FM78" i="1"/>
  <c r="FN78" i="1"/>
  <c r="FO78" i="1"/>
  <c r="FO65" i="1"/>
  <c r="FM65" i="1"/>
  <c r="FN61" i="1"/>
  <c r="FO61" i="1"/>
  <c r="FN62" i="1"/>
  <c r="FO62" i="1"/>
  <c r="FN63" i="1"/>
  <c r="FO63" i="1"/>
  <c r="FO60" i="1"/>
  <c r="FK58" i="1"/>
  <c r="FL58" i="1"/>
  <c r="FM58" i="1"/>
  <c r="FN58" i="1"/>
  <c r="FO58" i="1"/>
  <c r="FO57" i="1"/>
  <c r="FM57" i="1"/>
  <c r="FL57" i="1"/>
  <c r="FK57" i="1"/>
  <c r="FK54" i="1"/>
  <c r="FL54" i="1"/>
  <c r="FM54" i="1"/>
  <c r="FN54" i="1"/>
  <c r="FO54" i="1"/>
  <c r="FK55" i="1"/>
  <c r="FL55" i="1"/>
  <c r="FM55" i="1"/>
  <c r="FN55" i="1"/>
  <c r="FO55" i="1"/>
  <c r="FO53" i="1"/>
  <c r="FM53" i="1"/>
  <c r="FL53" i="1"/>
  <c r="FK53" i="1"/>
  <c r="FK51" i="1"/>
  <c r="FL51" i="1"/>
  <c r="FM51" i="1"/>
  <c r="FN51" i="1"/>
  <c r="FO51" i="1"/>
  <c r="FO50" i="1"/>
  <c r="FM50" i="1"/>
  <c r="FL50" i="1"/>
  <c r="FK50" i="1"/>
  <c r="FK48" i="1"/>
  <c r="FL48" i="1"/>
  <c r="FM48" i="1"/>
  <c r="FN48" i="1"/>
  <c r="FO48" i="1"/>
  <c r="FO47" i="1"/>
  <c r="FM47" i="1"/>
  <c r="FL47" i="1"/>
  <c r="FK47" i="1"/>
  <c r="FK45" i="1"/>
  <c r="FL45" i="1"/>
  <c r="FM45" i="1"/>
  <c r="FN45" i="1"/>
  <c r="FO45" i="1"/>
  <c r="FO44" i="1"/>
  <c r="FM44" i="1"/>
  <c r="FL44" i="1"/>
  <c r="FK44" i="1"/>
  <c r="FK42" i="1"/>
  <c r="FL42" i="1"/>
  <c r="FM42" i="1"/>
  <c r="FN42" i="1"/>
  <c r="FO42" i="1"/>
  <c r="FO41" i="1"/>
  <c r="FM41" i="1"/>
  <c r="FL41" i="1"/>
  <c r="FK41" i="1"/>
  <c r="FM39" i="1"/>
  <c r="FN39" i="1"/>
  <c r="FO39" i="1"/>
  <c r="FO38" i="1"/>
  <c r="FM38" i="1"/>
  <c r="FL38" i="1"/>
  <c r="FK38" i="1"/>
  <c r="FK35" i="1"/>
  <c r="FL35" i="1"/>
  <c r="FM35" i="1"/>
  <c r="FN35" i="1"/>
  <c r="FO35" i="1"/>
  <c r="FK36" i="1"/>
  <c r="FL36" i="1"/>
  <c r="FM36" i="1"/>
  <c r="FN36" i="1"/>
  <c r="FO36" i="1"/>
  <c r="FO34" i="1"/>
  <c r="FM34" i="1"/>
  <c r="FL34" i="1"/>
  <c r="FK34" i="1"/>
  <c r="FK24" i="1"/>
  <c r="FL24" i="1"/>
  <c r="FM24" i="1"/>
  <c r="FN24" i="1"/>
  <c r="FO24" i="1"/>
  <c r="FK25" i="1"/>
  <c r="FL25" i="1"/>
  <c r="FM25" i="1"/>
  <c r="FN25" i="1"/>
  <c r="FO25" i="1"/>
  <c r="FK26" i="1"/>
  <c r="FL26" i="1"/>
  <c r="FM26" i="1"/>
  <c r="FN26" i="1"/>
  <c r="FO26" i="1"/>
  <c r="FK27" i="1"/>
  <c r="FL27" i="1"/>
  <c r="FM27" i="1"/>
  <c r="FN27" i="1"/>
  <c r="FO27" i="1"/>
  <c r="FK28" i="1"/>
  <c r="FL28" i="1"/>
  <c r="FM28" i="1"/>
  <c r="FN28" i="1"/>
  <c r="FO28" i="1"/>
  <c r="FK29" i="1"/>
  <c r="FL29" i="1"/>
  <c r="FM29" i="1"/>
  <c r="FN29" i="1"/>
  <c r="FO29" i="1"/>
  <c r="FK30" i="1"/>
  <c r="FL30" i="1"/>
  <c r="FM30" i="1"/>
  <c r="FN30" i="1"/>
  <c r="FO30" i="1"/>
  <c r="FK31" i="1"/>
  <c r="FL31" i="1"/>
  <c r="FM31" i="1"/>
  <c r="FN31" i="1"/>
  <c r="FO31" i="1"/>
  <c r="FK32" i="1"/>
  <c r="FL32" i="1"/>
  <c r="FM32" i="1"/>
  <c r="FN32" i="1"/>
  <c r="FO32" i="1"/>
  <c r="FO23" i="1"/>
  <c r="FM23" i="1"/>
  <c r="FL23" i="1"/>
  <c r="FK23" i="1"/>
  <c r="FK20" i="1"/>
  <c r="FL20" i="1"/>
  <c r="FM20" i="1"/>
  <c r="FN20" i="1"/>
  <c r="FO20" i="1"/>
  <c r="FO19" i="1"/>
  <c r="FM19" i="1"/>
  <c r="FL19" i="1"/>
  <c r="FK19" i="1"/>
  <c r="FK17" i="1"/>
  <c r="FL17" i="1"/>
  <c r="FM17" i="1"/>
  <c r="FN17" i="1"/>
  <c r="FO17" i="1"/>
  <c r="FO16" i="1"/>
  <c r="FM16" i="1"/>
  <c r="FL16" i="1"/>
  <c r="FK16" i="1"/>
  <c r="FK14" i="1"/>
  <c r="FL14" i="1"/>
  <c r="FM14" i="1"/>
  <c r="FN14" i="1"/>
  <c r="FO14" i="1"/>
  <c r="FO13" i="1"/>
  <c r="FM13" i="1"/>
  <c r="FL13" i="1"/>
  <c r="FK13" i="1"/>
  <c r="FK7" i="1"/>
  <c r="FL7" i="1"/>
  <c r="FM7" i="1"/>
  <c r="FN7" i="1"/>
  <c r="FO7" i="1"/>
  <c r="FK8" i="1"/>
  <c r="FL8" i="1"/>
  <c r="FM8" i="1"/>
  <c r="FN8" i="1"/>
  <c r="FO8" i="1"/>
  <c r="FK9" i="1"/>
  <c r="FL9" i="1"/>
  <c r="FM9" i="1"/>
  <c r="FN9" i="1"/>
  <c r="FO9" i="1"/>
  <c r="FK10" i="1"/>
  <c r="FL10" i="1"/>
  <c r="FM10" i="1"/>
  <c r="FN10" i="1"/>
  <c r="FO10" i="1"/>
  <c r="FK11" i="1"/>
  <c r="FL11" i="1"/>
  <c r="FM11" i="1"/>
  <c r="FN11" i="1"/>
  <c r="FO11" i="1"/>
  <c r="FO6" i="1"/>
  <c r="FM6" i="1"/>
  <c r="FL6" i="1"/>
  <c r="FK6" i="1"/>
  <c r="FN65" i="1"/>
  <c r="FN60" i="1"/>
  <c r="FN57" i="1"/>
  <c r="FN53" i="1"/>
  <c r="FN50" i="1"/>
  <c r="FN47" i="1"/>
  <c r="FN44" i="1"/>
  <c r="FN41" i="1"/>
  <c r="FN38" i="1"/>
  <c r="FN34" i="1"/>
  <c r="FN23" i="1"/>
  <c r="FN19" i="1"/>
  <c r="FN16" i="1"/>
  <c r="FN13" i="1"/>
  <c r="FN6" i="1"/>
  <c r="GA66" i="1"/>
  <c r="GA67" i="1"/>
  <c r="GA68" i="1"/>
  <c r="GA69" i="1"/>
  <c r="GA70" i="1"/>
  <c r="GA71" i="1"/>
  <c r="GA72" i="1"/>
  <c r="GA73" i="1"/>
  <c r="GA74" i="1"/>
  <c r="GA75" i="1"/>
  <c r="GA76" i="1"/>
  <c r="GA77" i="1"/>
  <c r="GA78" i="1"/>
  <c r="GA65" i="1"/>
  <c r="GA61" i="1"/>
  <c r="GA58" i="1"/>
  <c r="GA57" i="1"/>
  <c r="GA55" i="1"/>
  <c r="GA54" i="1"/>
  <c r="GA53" i="1"/>
  <c r="GA51" i="1"/>
  <c r="GA50" i="1"/>
  <c r="GA48" i="1"/>
  <c r="GA47" i="1"/>
  <c r="GA45" i="1"/>
  <c r="GA44" i="1"/>
  <c r="GA42" i="1"/>
  <c r="GA41" i="1"/>
  <c r="GA39" i="1"/>
  <c r="GA38" i="1"/>
  <c r="GA35" i="1"/>
  <c r="GA36" i="1"/>
  <c r="GA34" i="1"/>
  <c r="GA24" i="1"/>
  <c r="GA25" i="1"/>
  <c r="GA26" i="1"/>
  <c r="GA27" i="1"/>
  <c r="GA28" i="1"/>
  <c r="GA29" i="1"/>
  <c r="GA30" i="1"/>
  <c r="GA31" i="1"/>
  <c r="GA32" i="1"/>
  <c r="GA23" i="1"/>
  <c r="GA14" i="1"/>
  <c r="GA13" i="1"/>
  <c r="GA17" i="1"/>
  <c r="GA16" i="1"/>
  <c r="GA20" i="1"/>
  <c r="GA19" i="1"/>
  <c r="GA7" i="1"/>
  <c r="GA8" i="1"/>
  <c r="GA9" i="1"/>
  <c r="GA10" i="1"/>
  <c r="GA11" i="1"/>
  <c r="GA6" i="1"/>
  <c r="GE66" i="1"/>
  <c r="GE67" i="1"/>
  <c r="GE68" i="1"/>
  <c r="GE69" i="1"/>
  <c r="GE70" i="1"/>
  <c r="GE71" i="1"/>
  <c r="GE72" i="1"/>
  <c r="GE73" i="1"/>
  <c r="GE74" i="1"/>
  <c r="GE75" i="1"/>
  <c r="GE76" i="1"/>
  <c r="GE77" i="1"/>
  <c r="GE78" i="1"/>
  <c r="GE65" i="1"/>
  <c r="GC66" i="1"/>
  <c r="GC67" i="1"/>
  <c r="GC68" i="1"/>
  <c r="GC69" i="1"/>
  <c r="GC70" i="1"/>
  <c r="GC71" i="1"/>
  <c r="GC72" i="1"/>
  <c r="GC73" i="1"/>
  <c r="GC74" i="1"/>
  <c r="GC75" i="1"/>
  <c r="GC76" i="1"/>
  <c r="GC77" i="1"/>
  <c r="GC78" i="1"/>
  <c r="GC65" i="1"/>
  <c r="GE61" i="1"/>
  <c r="GE62" i="1"/>
  <c r="GE63" i="1"/>
  <c r="GE60" i="1"/>
  <c r="GC61" i="1"/>
  <c r="GC62" i="1"/>
  <c r="GC63" i="1"/>
  <c r="GC60" i="1"/>
  <c r="GE58" i="1"/>
  <c r="GE57" i="1"/>
  <c r="GC58" i="1"/>
  <c r="GC57" i="1"/>
  <c r="GE54" i="1"/>
  <c r="GE55" i="1"/>
  <c r="GE53" i="1"/>
  <c r="GC54" i="1"/>
  <c r="GC55" i="1"/>
  <c r="GC53" i="1"/>
  <c r="GC51" i="1"/>
  <c r="GE51" i="1"/>
  <c r="GE50" i="1"/>
  <c r="GC50" i="1"/>
  <c r="GC48" i="1"/>
  <c r="GE48" i="1"/>
  <c r="GE47" i="1"/>
  <c r="GC47" i="1"/>
  <c r="GC45" i="1"/>
  <c r="GE45" i="1"/>
  <c r="GE44" i="1"/>
  <c r="GC44" i="1"/>
  <c r="GC42" i="1"/>
  <c r="GE42" i="1"/>
  <c r="GE41" i="1"/>
  <c r="GC41" i="1"/>
  <c r="GC39" i="1"/>
  <c r="GE39" i="1"/>
  <c r="GE38" i="1"/>
  <c r="GC38" i="1"/>
  <c r="GC35" i="1"/>
  <c r="GC36" i="1"/>
  <c r="GE35" i="1"/>
  <c r="GE36" i="1"/>
  <c r="GE34" i="1"/>
  <c r="GC34" i="1"/>
  <c r="GE24" i="1"/>
  <c r="GE25" i="1"/>
  <c r="GE26" i="1"/>
  <c r="GE27" i="1"/>
  <c r="GE28" i="1"/>
  <c r="GE29" i="1"/>
  <c r="GE30" i="1"/>
  <c r="GE31" i="1"/>
  <c r="GE32" i="1"/>
  <c r="GE23" i="1"/>
  <c r="GC24" i="1"/>
  <c r="GC25" i="1"/>
  <c r="GC26" i="1"/>
  <c r="GC27" i="1"/>
  <c r="GC28" i="1"/>
  <c r="GC29" i="1"/>
  <c r="GC30" i="1"/>
  <c r="GC31" i="1"/>
  <c r="GC32" i="1"/>
  <c r="GC23" i="1"/>
  <c r="GC20" i="1"/>
  <c r="GE20" i="1"/>
  <c r="GE19" i="1"/>
  <c r="GC19" i="1"/>
  <c r="GE17" i="1"/>
  <c r="GC17" i="1"/>
  <c r="GE16" i="1"/>
  <c r="GC16" i="1"/>
  <c r="GE14" i="1"/>
  <c r="GC14" i="1"/>
  <c r="GE13" i="1"/>
  <c r="GC13" i="1"/>
  <c r="GE7" i="1"/>
  <c r="GE8" i="1"/>
  <c r="GE9" i="1"/>
  <c r="GE10" i="1"/>
  <c r="GE11" i="1"/>
  <c r="GE6" i="1"/>
  <c r="GC7" i="1"/>
  <c r="GC8" i="1"/>
  <c r="GC9" i="1"/>
  <c r="GC10" i="1"/>
  <c r="GC11" i="1"/>
  <c r="GC6" i="1"/>
  <c r="GI20" i="1"/>
  <c r="GI19" i="1"/>
  <c r="GI17" i="1"/>
  <c r="GI16" i="1"/>
  <c r="GI14" i="1"/>
  <c r="GI13" i="1"/>
  <c r="GG35" i="1"/>
  <c r="GH35" i="1"/>
  <c r="GI35" i="1"/>
  <c r="GJ35" i="1"/>
  <c r="GK35" i="1"/>
  <c r="GG36" i="1"/>
  <c r="GH36" i="1"/>
  <c r="GI36" i="1"/>
  <c r="GJ36" i="1"/>
  <c r="GK36" i="1"/>
  <c r="GK34" i="1"/>
  <c r="GI34" i="1"/>
  <c r="GH34" i="1"/>
  <c r="GG34" i="1"/>
  <c r="GI39" i="1"/>
  <c r="GJ39" i="1"/>
  <c r="GK39" i="1"/>
  <c r="GK38" i="1"/>
  <c r="GI38" i="1"/>
  <c r="GH38" i="1"/>
  <c r="GG38" i="1"/>
  <c r="GG42" i="1"/>
  <c r="GH42" i="1"/>
  <c r="GI42" i="1"/>
  <c r="GJ42" i="1"/>
  <c r="GK42" i="1"/>
  <c r="GK41" i="1"/>
  <c r="GI41" i="1"/>
  <c r="GH41" i="1"/>
  <c r="GG41" i="1"/>
  <c r="GG45" i="1"/>
  <c r="GH45" i="1"/>
  <c r="GI45" i="1"/>
  <c r="GJ45" i="1"/>
  <c r="GK45" i="1"/>
  <c r="GK44" i="1"/>
  <c r="GI44" i="1"/>
  <c r="GH44" i="1"/>
  <c r="GG44" i="1"/>
  <c r="GG48" i="1"/>
  <c r="GH48" i="1"/>
  <c r="GI48" i="1"/>
  <c r="GJ48" i="1"/>
  <c r="GK48" i="1"/>
  <c r="GK47" i="1"/>
  <c r="GI47" i="1"/>
  <c r="GH47" i="1"/>
  <c r="GG47" i="1"/>
  <c r="GG51" i="1"/>
  <c r="GH51" i="1"/>
  <c r="GI51" i="1"/>
  <c r="GJ51" i="1"/>
  <c r="GK51" i="1"/>
  <c r="GK50" i="1"/>
  <c r="GI50" i="1"/>
  <c r="GH50" i="1"/>
  <c r="GG50" i="1"/>
  <c r="GG54" i="1"/>
  <c r="GH54" i="1"/>
  <c r="GI54" i="1"/>
  <c r="GJ54" i="1"/>
  <c r="GK54" i="1"/>
  <c r="GG55" i="1"/>
  <c r="GH55" i="1"/>
  <c r="GI55" i="1"/>
  <c r="GJ55" i="1"/>
  <c r="GK55" i="1"/>
  <c r="GI53" i="1"/>
  <c r="GK53" i="1"/>
  <c r="GH53" i="1"/>
  <c r="GG53" i="1"/>
  <c r="GG58" i="1"/>
  <c r="GH58" i="1"/>
  <c r="GI58" i="1"/>
  <c r="GJ58" i="1"/>
  <c r="GK58" i="1"/>
  <c r="GK57" i="1"/>
  <c r="GI57" i="1"/>
  <c r="GH57" i="1"/>
  <c r="GG57" i="1"/>
  <c r="GJ61" i="1"/>
  <c r="GK61" i="1"/>
  <c r="GJ62" i="1"/>
  <c r="GK62" i="1"/>
  <c r="GJ63" i="1"/>
  <c r="GK63" i="1"/>
  <c r="GK60" i="1"/>
  <c r="GH60" i="1"/>
  <c r="GG60" i="1"/>
  <c r="GI66" i="1"/>
  <c r="GJ66" i="1"/>
  <c r="GK66" i="1"/>
  <c r="GI67" i="1"/>
  <c r="GJ67" i="1"/>
  <c r="GK67" i="1"/>
  <c r="GI68" i="1"/>
  <c r="GJ68" i="1"/>
  <c r="GK68" i="1"/>
  <c r="GI69" i="1"/>
  <c r="GJ69" i="1"/>
  <c r="GK69" i="1"/>
  <c r="GI70" i="1"/>
  <c r="GJ70" i="1"/>
  <c r="GK70" i="1"/>
  <c r="GI71" i="1"/>
  <c r="GJ71" i="1"/>
  <c r="GK71" i="1"/>
  <c r="GI72" i="1"/>
  <c r="GJ72" i="1"/>
  <c r="GK72" i="1"/>
  <c r="GI73" i="1"/>
  <c r="GJ73" i="1"/>
  <c r="GK73" i="1"/>
  <c r="GI74" i="1"/>
  <c r="GJ74" i="1"/>
  <c r="GK74" i="1"/>
  <c r="GI75" i="1"/>
  <c r="GJ75" i="1"/>
  <c r="GK75" i="1"/>
  <c r="GI76" i="1"/>
  <c r="GJ76" i="1"/>
  <c r="GK76" i="1"/>
  <c r="GI77" i="1"/>
  <c r="GJ77" i="1"/>
  <c r="GK77" i="1"/>
  <c r="GI78" i="1"/>
  <c r="GJ78" i="1"/>
  <c r="GK78" i="1"/>
  <c r="GK65" i="1"/>
  <c r="GI65" i="1"/>
  <c r="GG24" i="1"/>
  <c r="GH24" i="1"/>
  <c r="GI24" i="1"/>
  <c r="GJ24" i="1"/>
  <c r="GK24" i="1"/>
  <c r="GG25" i="1"/>
  <c r="GH25" i="1"/>
  <c r="GI25" i="1"/>
  <c r="GJ25" i="1"/>
  <c r="GK25" i="1"/>
  <c r="GG26" i="1"/>
  <c r="GH26" i="1"/>
  <c r="GI26" i="1"/>
  <c r="GJ26" i="1"/>
  <c r="GK26" i="1"/>
  <c r="GG27" i="1"/>
  <c r="GH27" i="1"/>
  <c r="GI27" i="1"/>
  <c r="GJ27" i="1"/>
  <c r="GK27" i="1"/>
  <c r="GG28" i="1"/>
  <c r="GH28" i="1"/>
  <c r="GI28" i="1"/>
  <c r="GJ28" i="1"/>
  <c r="GK28" i="1"/>
  <c r="GG29" i="1"/>
  <c r="GH29" i="1"/>
  <c r="GI29" i="1"/>
  <c r="GJ29" i="1"/>
  <c r="GK29" i="1"/>
  <c r="GG30" i="1"/>
  <c r="GH30" i="1"/>
  <c r="GI30" i="1"/>
  <c r="GJ30" i="1"/>
  <c r="GK30" i="1"/>
  <c r="GG31" i="1"/>
  <c r="GH31" i="1"/>
  <c r="GI31" i="1"/>
  <c r="GJ31" i="1"/>
  <c r="GK31" i="1"/>
  <c r="GG32" i="1"/>
  <c r="GH32" i="1"/>
  <c r="GI32" i="1"/>
  <c r="GJ32" i="1"/>
  <c r="GK32" i="1"/>
  <c r="GK23" i="1"/>
  <c r="GI23" i="1"/>
  <c r="GH23" i="1"/>
  <c r="GG23" i="1"/>
  <c r="GK20" i="1"/>
  <c r="GG20" i="1"/>
  <c r="GH20" i="1"/>
  <c r="GK19" i="1"/>
  <c r="GH19" i="1"/>
  <c r="GG19" i="1"/>
  <c r="GG17" i="1"/>
  <c r="GH17" i="1"/>
  <c r="GK17" i="1"/>
  <c r="GK16" i="1"/>
  <c r="GH16" i="1"/>
  <c r="GG16" i="1"/>
  <c r="GK14" i="1"/>
  <c r="GK13" i="1"/>
  <c r="GJ14" i="1"/>
  <c r="GH14" i="1"/>
  <c r="GG14" i="1"/>
  <c r="GH13" i="1"/>
  <c r="GG13" i="1"/>
  <c r="GJ65" i="1"/>
  <c r="GJ60" i="1"/>
  <c r="GJ57" i="1"/>
  <c r="GJ53" i="1"/>
  <c r="GJ50" i="1"/>
  <c r="GJ47" i="1"/>
  <c r="GJ44" i="1"/>
  <c r="GJ41" i="1"/>
  <c r="GJ38" i="1"/>
  <c r="GJ34" i="1"/>
  <c r="GJ23" i="1"/>
  <c r="GJ20" i="1"/>
  <c r="GJ19" i="1"/>
  <c r="GJ17" i="1"/>
  <c r="GJ16" i="1"/>
  <c r="GJ13" i="1"/>
  <c r="GJ7" i="1"/>
  <c r="GJ8" i="1"/>
  <c r="GJ9" i="1"/>
  <c r="GJ10" i="1"/>
  <c r="GJ11" i="1"/>
  <c r="GJ6" i="1"/>
  <c r="GK7" i="1"/>
  <c r="GK8" i="1"/>
  <c r="GK9" i="1"/>
  <c r="GK10" i="1"/>
  <c r="GK11" i="1"/>
  <c r="GK6" i="1"/>
  <c r="GG7" i="1"/>
  <c r="GG8" i="1"/>
  <c r="GG9" i="1"/>
  <c r="GG10" i="1"/>
  <c r="GG11" i="1"/>
  <c r="GH7" i="1"/>
  <c r="GH8" i="1"/>
  <c r="GH9" i="1"/>
  <c r="GH10" i="1"/>
  <c r="GH11" i="1"/>
  <c r="GI7" i="1"/>
  <c r="GI8" i="1"/>
  <c r="GI9" i="1"/>
  <c r="GI10" i="1"/>
  <c r="GI11" i="1"/>
  <c r="GI6" i="1"/>
  <c r="GH6" i="1"/>
  <c r="GG6" i="1"/>
  <c r="Q7" i="1"/>
  <c r="Q8" i="1"/>
  <c r="Q9" i="1"/>
  <c r="Q10" i="1"/>
  <c r="Q11" i="1"/>
  <c r="Q6" i="1"/>
  <c r="O7" i="1"/>
  <c r="O8" i="1"/>
  <c r="O9" i="1"/>
  <c r="O10" i="1"/>
  <c r="O11" i="1"/>
  <c r="O6" i="1"/>
  <c r="N7" i="1"/>
  <c r="N8" i="1"/>
  <c r="N9" i="1"/>
  <c r="N10" i="1"/>
  <c r="N11" i="1"/>
  <c r="N6" i="1"/>
  <c r="M7" i="1"/>
  <c r="M8" i="1"/>
  <c r="M9" i="1"/>
  <c r="M10" i="1"/>
  <c r="M11" i="1"/>
  <c r="M6" i="1"/>
  <c r="IW74" i="1"/>
  <c r="IW75" i="1"/>
  <c r="IW76" i="1"/>
  <c r="IW77" i="1"/>
  <c r="IW78" i="1"/>
  <c r="IW67" i="1"/>
  <c r="IW68" i="1"/>
  <c r="IW69" i="1"/>
  <c r="IW70" i="1"/>
  <c r="IW71" i="1"/>
  <c r="IW72" i="1"/>
  <c r="IW73" i="1"/>
  <c r="IW66" i="1"/>
  <c r="IW65" i="1"/>
  <c r="IW58" i="1"/>
  <c r="IW57" i="1"/>
  <c r="IW51" i="1"/>
  <c r="IW50" i="1"/>
  <c r="IW55" i="1"/>
  <c r="IW54" i="1"/>
  <c r="IW53" i="1"/>
  <c r="IW48" i="1"/>
  <c r="IW47" i="1"/>
  <c r="IW45" i="1"/>
  <c r="IW44" i="1"/>
  <c r="IW7" i="1"/>
  <c r="IW8" i="1"/>
  <c r="IW9" i="1"/>
  <c r="IW10" i="1"/>
  <c r="IW11" i="1"/>
  <c r="IW6" i="1"/>
  <c r="IW20" i="1"/>
  <c r="IW19" i="1"/>
  <c r="IW42" i="1"/>
  <c r="IW41" i="1"/>
  <c r="IY42" i="1"/>
  <c r="IY41" i="1"/>
  <c r="IW39" i="1"/>
  <c r="IY39" i="1"/>
  <c r="IY38" i="1"/>
  <c r="IW38" i="1"/>
  <c r="IU39" i="1"/>
  <c r="IU38" i="1"/>
  <c r="IY36" i="1"/>
  <c r="IY35" i="1"/>
  <c r="IY34" i="1"/>
  <c r="IU35" i="1"/>
  <c r="IU36" i="1"/>
  <c r="IU34" i="1"/>
  <c r="IW35" i="1"/>
  <c r="IW36" i="1"/>
  <c r="IW34" i="1"/>
  <c r="IW24" i="1"/>
  <c r="IW25" i="1"/>
  <c r="IW26" i="1"/>
  <c r="IW27" i="1"/>
  <c r="IW28" i="1"/>
  <c r="IW29" i="1"/>
  <c r="IW30" i="1"/>
  <c r="IW31" i="1"/>
  <c r="IW32" i="1"/>
  <c r="IW23" i="1"/>
  <c r="IY24" i="1"/>
  <c r="IY25" i="1"/>
  <c r="IY26" i="1"/>
  <c r="IY27" i="1"/>
  <c r="IY28" i="1"/>
  <c r="IY29" i="1"/>
  <c r="IY30" i="1"/>
  <c r="IY31" i="1"/>
  <c r="IY32" i="1"/>
  <c r="IU24" i="1"/>
  <c r="IU25" i="1"/>
  <c r="IU26" i="1"/>
  <c r="IU27" i="1"/>
  <c r="IU28" i="1"/>
  <c r="IU29" i="1"/>
  <c r="IU30" i="1"/>
  <c r="IU31" i="1"/>
  <c r="IU32" i="1"/>
  <c r="IY23" i="1"/>
  <c r="IV23" i="1"/>
  <c r="IU23" i="1"/>
  <c r="IY20" i="1"/>
  <c r="IU20" i="1"/>
  <c r="IY19" i="1"/>
  <c r="IU19" i="1"/>
  <c r="IY17" i="1"/>
  <c r="IW17" i="1"/>
  <c r="IY16" i="1"/>
  <c r="IW16" i="1"/>
  <c r="IU17" i="1"/>
  <c r="IU16" i="1"/>
  <c r="IY14" i="1"/>
  <c r="IY13" i="1"/>
  <c r="IW14" i="1"/>
  <c r="IW13" i="1"/>
  <c r="IU14" i="1"/>
  <c r="IU13" i="1"/>
  <c r="IY7" i="1"/>
  <c r="IY8" i="1"/>
  <c r="IY9" i="1"/>
  <c r="IY10" i="1"/>
  <c r="IY11" i="1"/>
  <c r="IY6" i="1"/>
  <c r="IU7" i="1"/>
  <c r="IU8" i="1"/>
  <c r="IU9" i="1"/>
  <c r="IU10" i="1"/>
  <c r="IU11" i="1"/>
  <c r="IU6" i="1"/>
  <c r="IC20" i="1"/>
  <c r="IC19" i="1"/>
  <c r="IA20" i="1"/>
  <c r="IA19" i="1"/>
  <c r="IC17" i="1"/>
  <c r="IC16" i="1"/>
  <c r="IA17" i="1"/>
  <c r="IA16" i="1"/>
  <c r="IC14" i="1"/>
  <c r="IC13" i="1"/>
  <c r="IA14" i="1"/>
  <c r="IA13" i="1"/>
  <c r="IA7" i="1"/>
  <c r="IA8" i="1"/>
  <c r="IA9" i="1"/>
  <c r="IA10" i="1"/>
  <c r="IA11" i="1"/>
  <c r="IA6" i="1"/>
  <c r="IC7" i="1"/>
  <c r="IC8" i="1"/>
  <c r="IC9" i="1"/>
  <c r="IC10" i="1"/>
  <c r="IC11" i="1"/>
  <c r="IC6" i="1"/>
  <c r="HG51" i="1"/>
  <c r="HC51" i="1"/>
  <c r="HG50" i="1"/>
  <c r="HC50" i="1"/>
  <c r="HG54" i="1"/>
  <c r="HG55" i="1"/>
  <c r="HG53" i="1"/>
  <c r="HC54" i="1"/>
  <c r="HC55" i="1"/>
  <c r="HC53" i="1"/>
  <c r="HG58" i="1"/>
  <c r="HG57" i="1"/>
  <c r="HC58" i="1"/>
  <c r="HC57" i="1"/>
  <c r="HG61" i="1"/>
  <c r="HG62" i="1"/>
  <c r="HG63" i="1"/>
  <c r="HG60" i="1"/>
  <c r="HC60" i="1"/>
  <c r="HG66" i="1"/>
  <c r="HG67" i="1"/>
  <c r="HG68" i="1"/>
  <c r="HG69" i="1"/>
  <c r="HG70" i="1"/>
  <c r="HG71" i="1"/>
  <c r="HG72" i="1"/>
  <c r="HG73" i="1"/>
  <c r="HG74" i="1"/>
  <c r="HG75" i="1"/>
  <c r="HG76" i="1"/>
  <c r="HG77" i="1"/>
  <c r="HG78" i="1"/>
  <c r="HG65" i="1"/>
  <c r="HG48" i="1"/>
  <c r="HG47" i="1"/>
  <c r="HC48" i="1"/>
  <c r="HC47" i="1"/>
  <c r="HG45" i="1"/>
  <c r="HG44" i="1"/>
  <c r="HC45" i="1"/>
  <c r="HC44" i="1"/>
  <c r="HG35" i="1"/>
  <c r="HG36" i="1"/>
  <c r="HG34" i="1"/>
  <c r="HC35" i="1"/>
  <c r="HC36" i="1"/>
  <c r="HC34" i="1"/>
  <c r="HC24" i="1"/>
  <c r="HC25" i="1"/>
  <c r="HC26" i="1"/>
  <c r="HC27" i="1"/>
  <c r="HC28" i="1"/>
  <c r="HC29" i="1"/>
  <c r="HC30" i="1"/>
  <c r="HC31" i="1"/>
  <c r="HC32" i="1"/>
  <c r="HC23" i="1"/>
  <c r="HG24" i="1"/>
  <c r="HG25" i="1"/>
  <c r="HG26" i="1"/>
  <c r="HG27" i="1"/>
  <c r="HG28" i="1"/>
  <c r="HG29" i="1"/>
  <c r="HG30" i="1"/>
  <c r="HG31" i="1"/>
  <c r="HG32" i="1"/>
  <c r="HG23" i="1"/>
  <c r="HG20" i="1"/>
  <c r="HG19" i="1"/>
  <c r="HE20" i="1"/>
  <c r="HE19" i="1"/>
  <c r="HG17" i="1"/>
  <c r="HG16" i="1"/>
  <c r="HE17" i="1"/>
  <c r="HE16" i="1"/>
  <c r="HC17" i="1"/>
  <c r="HC16" i="1"/>
  <c r="HG14" i="1"/>
  <c r="HG13" i="1"/>
  <c r="HE14" i="1"/>
  <c r="HE13" i="1"/>
  <c r="HC14" i="1"/>
  <c r="HC13" i="1"/>
  <c r="HG7" i="1"/>
  <c r="HG8" i="1"/>
  <c r="HG9" i="1"/>
  <c r="HG10" i="1"/>
  <c r="HG11" i="1"/>
  <c r="HG6" i="1"/>
  <c r="HC7" i="1"/>
  <c r="HC8" i="1"/>
  <c r="HC9" i="1"/>
  <c r="HC10" i="1"/>
  <c r="HC11" i="1"/>
  <c r="HC6" i="1"/>
  <c r="IX55" i="1"/>
  <c r="IX36" i="1"/>
  <c r="IX60" i="1"/>
  <c r="IX54" i="1"/>
  <c r="IX53" i="1"/>
  <c r="IX48" i="1"/>
  <c r="IX47" i="1"/>
  <c r="IX35" i="1"/>
  <c r="IX34" i="1"/>
  <c r="IX20" i="1"/>
  <c r="IX19" i="1"/>
  <c r="IX14" i="1"/>
  <c r="IX13" i="1"/>
  <c r="IX16" i="1"/>
  <c r="IX17" i="1"/>
  <c r="IV58" i="1"/>
  <c r="IV57" i="1"/>
  <c r="IV45" i="1"/>
  <c r="IV44" i="1"/>
  <c r="IV51" i="1"/>
  <c r="IV50" i="1"/>
  <c r="IV55" i="1"/>
  <c r="IV60" i="1"/>
  <c r="IV54" i="1"/>
  <c r="IV53" i="1"/>
  <c r="IV48" i="1"/>
  <c r="IV47" i="1"/>
  <c r="IV42" i="1"/>
  <c r="IV41" i="1"/>
  <c r="IV39" i="1"/>
  <c r="IV38" i="1"/>
  <c r="IV35" i="1"/>
  <c r="IV36" i="1"/>
  <c r="IV34" i="1"/>
  <c r="IX66" i="1"/>
  <c r="IX67" i="1"/>
  <c r="IX68" i="1"/>
  <c r="IX69" i="1"/>
  <c r="IX70" i="1"/>
  <c r="IX71" i="1"/>
  <c r="IX72" i="1"/>
  <c r="IX73" i="1"/>
  <c r="IX74" i="1"/>
  <c r="IX75" i="1"/>
  <c r="IX76" i="1"/>
  <c r="IX77" i="1"/>
  <c r="IX78" i="1"/>
  <c r="IV24" i="1"/>
  <c r="IV25" i="1"/>
  <c r="IV26" i="1"/>
  <c r="IV27" i="1"/>
  <c r="IV28" i="1"/>
  <c r="IV29" i="1"/>
  <c r="IV30" i="1"/>
  <c r="IV31" i="1"/>
  <c r="IV32" i="1"/>
  <c r="IS78" i="1"/>
  <c r="IS77" i="1"/>
  <c r="IS76" i="1"/>
  <c r="IS75" i="1"/>
  <c r="IS74" i="1"/>
  <c r="IS73" i="1"/>
  <c r="IS72" i="1"/>
  <c r="IS71" i="1"/>
  <c r="IS70" i="1"/>
  <c r="IS69" i="1"/>
  <c r="IS68" i="1"/>
  <c r="IS67" i="1"/>
  <c r="IS66" i="1"/>
  <c r="IS65" i="1"/>
  <c r="IS63" i="1"/>
  <c r="IS62" i="1"/>
  <c r="IS60" i="1"/>
  <c r="IS58" i="1"/>
  <c r="IS57" i="1"/>
  <c r="IS55" i="1"/>
  <c r="IS54" i="1"/>
  <c r="IS53" i="1"/>
  <c r="IS51" i="1"/>
  <c r="IS50" i="1"/>
  <c r="IS48" i="1"/>
  <c r="IS47" i="1"/>
  <c r="IS45" i="1"/>
  <c r="IS44" i="1"/>
  <c r="IS42" i="1"/>
  <c r="IS41" i="1"/>
  <c r="IS39" i="1"/>
  <c r="IS38" i="1"/>
  <c r="IS35" i="1"/>
  <c r="IS36" i="1"/>
  <c r="IS34" i="1"/>
  <c r="IS24" i="1"/>
  <c r="IS25" i="1"/>
  <c r="IS26" i="1"/>
  <c r="IS27" i="1"/>
  <c r="IS28" i="1"/>
  <c r="IS29" i="1"/>
  <c r="IS30" i="1"/>
  <c r="IS31" i="1"/>
  <c r="IS32" i="1"/>
  <c r="IQ24" i="1"/>
  <c r="IQ25" i="1"/>
  <c r="IQ26" i="1"/>
  <c r="IQ27" i="1"/>
  <c r="IQ28" i="1"/>
  <c r="IQ29" i="1"/>
  <c r="IQ30" i="1"/>
  <c r="IQ31" i="1"/>
  <c r="IQ32" i="1"/>
  <c r="IS23" i="1"/>
  <c r="IQ23" i="1"/>
  <c r="IS20" i="1"/>
  <c r="IS19" i="1"/>
  <c r="IS17" i="1"/>
  <c r="IS16" i="1"/>
  <c r="IS14" i="1"/>
  <c r="IS13" i="1"/>
  <c r="IS7" i="1"/>
  <c r="IS8" i="1"/>
  <c r="IS9" i="1"/>
  <c r="IS10" i="1"/>
  <c r="IS11" i="1"/>
  <c r="IS6" i="1"/>
  <c r="IQ17" i="1"/>
  <c r="IQ16" i="1"/>
  <c r="IQ66" i="1"/>
  <c r="IQ67" i="1"/>
  <c r="IQ68" i="1"/>
  <c r="IQ69" i="1"/>
  <c r="IQ70" i="1"/>
  <c r="IQ71" i="1"/>
  <c r="IQ72" i="1"/>
  <c r="IQ73" i="1"/>
  <c r="IQ74" i="1"/>
  <c r="IQ75" i="1"/>
  <c r="IQ76" i="1"/>
  <c r="IQ77" i="1"/>
  <c r="IQ78" i="1"/>
  <c r="IQ65" i="1"/>
  <c r="IQ58" i="1"/>
  <c r="IQ57" i="1"/>
  <c r="IQ51" i="1"/>
  <c r="IQ50" i="1"/>
  <c r="IQ45" i="1"/>
  <c r="IQ44" i="1"/>
  <c r="IQ39" i="1"/>
  <c r="IQ38" i="1"/>
  <c r="IQ36" i="1"/>
  <c r="IQ55" i="1"/>
  <c r="IQ62" i="1"/>
  <c r="IQ63" i="1"/>
  <c r="IQ61" i="1"/>
  <c r="IQ60" i="1"/>
  <c r="IQ54" i="1"/>
  <c r="IQ53" i="1"/>
  <c r="IQ48" i="1"/>
  <c r="IQ47" i="1"/>
  <c r="IQ42" i="1"/>
  <c r="IQ41" i="1"/>
  <c r="IQ35" i="1"/>
  <c r="IQ34" i="1"/>
  <c r="IQ20" i="1"/>
  <c r="IQ19" i="1"/>
  <c r="IQ14" i="1"/>
  <c r="IQ13" i="1"/>
  <c r="IQ7" i="1"/>
  <c r="IQ8" i="1"/>
  <c r="IQ9" i="1"/>
  <c r="IQ10" i="1"/>
  <c r="IQ11" i="1"/>
  <c r="IQ6" i="1"/>
  <c r="HZ44" i="1"/>
  <c r="HZ60" i="1"/>
  <c r="HZ58" i="1"/>
  <c r="HZ57" i="1"/>
  <c r="HZ53" i="1"/>
  <c r="HZ50" i="1"/>
  <c r="HZ47" i="1"/>
  <c r="HZ41" i="1"/>
  <c r="HZ38" i="1"/>
  <c r="HZ34" i="1"/>
  <c r="IB25" i="1"/>
  <c r="IB26" i="1"/>
  <c r="IB27" i="1"/>
  <c r="IB28" i="1"/>
  <c r="IB29" i="1"/>
  <c r="IB30" i="1"/>
  <c r="IB31" i="1"/>
  <c r="IB32" i="1"/>
  <c r="IB62" i="1"/>
  <c r="IB63" i="1"/>
  <c r="IB67" i="1"/>
  <c r="IB68" i="1"/>
  <c r="IB69" i="1"/>
  <c r="IB70" i="1"/>
  <c r="IB71" i="1"/>
  <c r="IB72" i="1"/>
  <c r="IB73" i="1"/>
  <c r="IB74" i="1"/>
  <c r="IB75" i="1"/>
  <c r="IB76" i="1"/>
  <c r="IB77" i="1"/>
  <c r="IB78" i="1"/>
  <c r="IB66" i="1"/>
  <c r="IB65" i="1"/>
  <c r="IB61" i="1"/>
  <c r="IB60" i="1"/>
  <c r="IB58" i="1"/>
  <c r="IB57" i="1"/>
  <c r="IB53" i="1"/>
  <c r="IB50" i="1"/>
  <c r="IB47" i="1"/>
  <c r="IB44" i="1"/>
  <c r="IB41" i="1"/>
  <c r="IB38" i="1"/>
  <c r="IB34" i="1"/>
  <c r="IB24" i="1"/>
  <c r="IB23" i="1"/>
  <c r="IB20" i="1"/>
  <c r="IB19" i="1"/>
  <c r="IB17" i="1"/>
  <c r="IB16" i="1"/>
  <c r="IB14" i="1"/>
  <c r="IB13" i="1"/>
  <c r="IB7" i="1"/>
  <c r="IB8" i="1"/>
  <c r="IB9" i="1"/>
  <c r="IB10" i="1"/>
  <c r="IB11" i="1"/>
  <c r="IB6" i="1"/>
  <c r="HZ24" i="1"/>
  <c r="HZ25" i="1"/>
  <c r="HZ26" i="1"/>
  <c r="HZ27" i="1"/>
  <c r="HZ28" i="1"/>
  <c r="HZ29" i="1"/>
  <c r="HZ30" i="1"/>
  <c r="HZ31" i="1"/>
  <c r="HZ32" i="1"/>
  <c r="HZ23" i="1"/>
  <c r="HY24" i="1"/>
  <c r="HY25" i="1"/>
  <c r="HY26" i="1"/>
  <c r="HY27" i="1"/>
  <c r="HY28" i="1"/>
  <c r="HY29" i="1"/>
  <c r="HY30" i="1"/>
  <c r="HY31" i="1"/>
  <c r="HY32" i="1"/>
  <c r="HY23" i="1"/>
  <c r="HY20" i="1"/>
  <c r="HY19" i="1"/>
  <c r="HY17" i="1"/>
  <c r="HY16" i="1"/>
  <c r="HY14" i="1"/>
  <c r="HY13" i="1"/>
  <c r="HY7" i="1"/>
  <c r="HY8" i="1"/>
  <c r="HY9" i="1"/>
  <c r="HY10" i="1"/>
  <c r="HY11" i="1"/>
  <c r="HY6" i="1"/>
  <c r="HW36" i="1"/>
  <c r="HW35" i="1"/>
  <c r="HW34" i="1"/>
  <c r="HW39" i="1"/>
  <c r="HW38" i="1"/>
  <c r="HW42" i="1"/>
  <c r="HW41" i="1"/>
  <c r="HW45" i="1"/>
  <c r="HW44" i="1"/>
  <c r="HW48" i="1"/>
  <c r="HW47" i="1"/>
  <c r="HW51" i="1"/>
  <c r="HW50" i="1"/>
  <c r="HW54" i="1"/>
  <c r="HW55" i="1"/>
  <c r="HW53" i="1"/>
  <c r="HW58" i="1"/>
  <c r="HW57" i="1"/>
  <c r="HW61" i="1"/>
  <c r="HW62" i="1"/>
  <c r="HW63" i="1"/>
  <c r="HW60" i="1"/>
  <c r="HW66" i="1"/>
  <c r="HW67" i="1"/>
  <c r="HW68" i="1"/>
  <c r="HW69" i="1"/>
  <c r="HW70" i="1"/>
  <c r="HW71" i="1"/>
  <c r="HW72" i="1"/>
  <c r="HW73" i="1"/>
  <c r="HW74" i="1"/>
  <c r="HW75" i="1"/>
  <c r="HW76" i="1"/>
  <c r="HW77" i="1"/>
  <c r="HW78" i="1"/>
  <c r="HW65" i="1"/>
  <c r="HW24" i="1"/>
  <c r="HW25" i="1"/>
  <c r="HW26" i="1"/>
  <c r="HW27" i="1"/>
  <c r="HW28" i="1"/>
  <c r="HW29" i="1"/>
  <c r="HW30" i="1"/>
  <c r="HW31" i="1"/>
  <c r="HW32" i="1"/>
  <c r="HW23" i="1"/>
  <c r="HW20" i="1"/>
  <c r="HW19" i="1"/>
  <c r="HW17" i="1"/>
  <c r="HW16" i="1"/>
  <c r="HW14" i="1"/>
  <c r="HW13" i="1"/>
  <c r="HW7" i="1"/>
  <c r="HW8" i="1"/>
  <c r="HW9" i="1"/>
  <c r="HW10" i="1"/>
  <c r="HW11" i="1"/>
  <c r="HW6" i="1"/>
  <c r="HU20" i="1"/>
  <c r="HU19" i="1"/>
  <c r="HU24" i="1"/>
  <c r="HU25" i="1"/>
  <c r="HU26" i="1"/>
  <c r="HU27" i="1"/>
  <c r="HU28" i="1"/>
  <c r="HU29" i="1"/>
  <c r="HU30" i="1"/>
  <c r="HU31" i="1"/>
  <c r="HU32" i="1"/>
  <c r="HU23" i="1"/>
  <c r="HU35" i="1"/>
  <c r="HU36" i="1"/>
  <c r="HU34" i="1"/>
  <c r="HU39" i="1"/>
  <c r="HU38" i="1"/>
  <c r="HU42" i="1"/>
  <c r="HU41" i="1"/>
  <c r="HU45" i="1"/>
  <c r="HU44" i="1"/>
  <c r="HU48" i="1"/>
  <c r="HU47" i="1"/>
  <c r="HU51" i="1"/>
  <c r="HU50" i="1"/>
  <c r="HU54" i="1"/>
  <c r="HU55" i="1"/>
  <c r="HU53" i="1"/>
  <c r="HU58" i="1"/>
  <c r="HU57" i="1"/>
  <c r="HU61" i="1"/>
  <c r="HU62" i="1"/>
  <c r="HU63" i="1"/>
  <c r="HU60" i="1"/>
  <c r="HU66" i="1"/>
  <c r="HU67" i="1"/>
  <c r="HU68" i="1"/>
  <c r="HU69" i="1"/>
  <c r="HU70" i="1"/>
  <c r="HU71" i="1"/>
  <c r="HU72" i="1"/>
  <c r="HU73" i="1"/>
  <c r="HU74" i="1"/>
  <c r="HU75" i="1"/>
  <c r="HU76" i="1"/>
  <c r="HU77" i="1"/>
  <c r="HU78" i="1"/>
  <c r="HU65" i="1"/>
  <c r="HU17" i="1"/>
  <c r="HU16" i="1"/>
  <c r="HU14" i="1"/>
  <c r="HU13" i="1"/>
  <c r="HU7" i="1"/>
  <c r="HU8" i="1"/>
  <c r="HU9" i="1"/>
  <c r="HU10" i="1"/>
  <c r="HU11" i="1"/>
  <c r="HU6" i="1"/>
  <c r="HF55" i="1"/>
  <c r="HF36" i="1"/>
  <c r="HD60" i="1"/>
  <c r="HD58" i="1"/>
  <c r="HD57" i="1"/>
  <c r="HD55" i="1"/>
  <c r="HD54" i="1"/>
  <c r="HD53" i="1"/>
  <c r="HD51" i="1"/>
  <c r="HD50" i="1"/>
  <c r="HD48" i="1"/>
  <c r="HD47" i="1"/>
  <c r="HD45" i="1"/>
  <c r="HD44" i="1"/>
  <c r="HD42" i="1"/>
  <c r="HD41" i="1"/>
  <c r="HD39" i="1"/>
  <c r="HD38" i="1"/>
  <c r="HD36" i="1"/>
  <c r="HD35" i="1"/>
  <c r="HD34" i="1"/>
  <c r="HC20" i="1"/>
  <c r="HC19" i="1"/>
  <c r="HF63" i="1"/>
  <c r="HF62" i="1"/>
  <c r="HF61" i="1"/>
  <c r="HF60" i="1"/>
  <c r="HF54" i="1"/>
  <c r="HF53" i="1"/>
  <c r="HF48" i="1"/>
  <c r="HF47" i="1"/>
  <c r="HF42" i="1"/>
  <c r="HF41" i="1"/>
  <c r="HF35" i="1"/>
  <c r="HF34" i="1"/>
  <c r="HF20" i="1"/>
  <c r="HF19" i="1"/>
  <c r="HF14" i="1"/>
  <c r="HF13" i="1"/>
  <c r="HF67" i="1"/>
  <c r="HF68" i="1"/>
  <c r="HF69" i="1"/>
  <c r="HF70" i="1"/>
  <c r="HF71" i="1"/>
  <c r="HF72" i="1"/>
  <c r="HF73" i="1"/>
  <c r="HF74" i="1"/>
  <c r="HF75" i="1"/>
  <c r="HF76" i="1"/>
  <c r="HF77" i="1"/>
  <c r="HF78" i="1"/>
  <c r="HF25" i="1"/>
  <c r="HF26" i="1"/>
  <c r="HF27" i="1"/>
  <c r="HF28" i="1"/>
  <c r="HF29" i="1"/>
  <c r="HF30" i="1"/>
  <c r="HF31" i="1"/>
  <c r="HF32" i="1"/>
  <c r="HF66" i="1"/>
  <c r="HF65" i="1"/>
  <c r="HF58" i="1"/>
  <c r="HF57" i="1"/>
  <c r="HF51" i="1"/>
  <c r="HF50" i="1"/>
  <c r="HF45" i="1"/>
  <c r="HF44" i="1"/>
  <c r="HF39" i="1"/>
  <c r="HF38" i="1"/>
  <c r="HF24" i="1"/>
  <c r="HF23" i="1"/>
  <c r="HF17" i="1"/>
  <c r="HF16" i="1"/>
  <c r="HF7" i="1"/>
  <c r="HF8" i="1"/>
  <c r="HF9" i="1"/>
  <c r="HF10" i="1"/>
  <c r="HF11" i="1"/>
  <c r="HF6" i="1"/>
  <c r="IX25" i="1"/>
  <c r="IX26" i="1"/>
  <c r="IX27" i="1"/>
  <c r="IX28" i="1"/>
  <c r="IX29" i="1"/>
  <c r="IX30" i="1"/>
  <c r="IX31" i="1"/>
  <c r="IX32" i="1"/>
  <c r="IX65" i="1"/>
  <c r="IX58" i="1"/>
  <c r="IX57" i="1"/>
  <c r="IX51" i="1"/>
  <c r="IX50" i="1"/>
  <c r="IX45" i="1"/>
  <c r="IX44" i="1"/>
  <c r="IX39" i="1"/>
  <c r="IX38" i="1"/>
  <c r="IX24" i="1"/>
  <c r="IX23" i="1"/>
  <c r="IX7" i="1"/>
  <c r="IX8" i="1"/>
  <c r="IX9" i="1"/>
  <c r="IX10" i="1"/>
  <c r="IX11" i="1"/>
  <c r="IX6" i="1"/>
  <c r="HD24" i="1"/>
  <c r="HD25" i="1"/>
  <c r="HD26" i="1"/>
  <c r="HD27" i="1"/>
  <c r="HD28" i="1"/>
  <c r="HD29" i="1"/>
  <c r="HD30" i="1"/>
  <c r="HD31" i="1"/>
  <c r="HD32" i="1"/>
  <c r="HD23" i="1"/>
  <c r="HA54" i="1"/>
  <c r="HA55" i="1"/>
  <c r="HA53" i="1"/>
  <c r="HA51" i="1"/>
  <c r="HA50" i="1"/>
  <c r="HA48" i="1"/>
  <c r="HA47" i="1"/>
  <c r="HA45" i="1"/>
  <c r="HA44" i="1"/>
  <c r="HA42" i="1"/>
  <c r="HA41" i="1"/>
  <c r="HA39" i="1"/>
  <c r="HA38" i="1"/>
  <c r="HA35" i="1"/>
  <c r="HA36" i="1"/>
  <c r="HA34" i="1"/>
  <c r="HA24" i="1"/>
  <c r="HA25" i="1"/>
  <c r="HA26" i="1"/>
  <c r="HA27" i="1"/>
  <c r="HA28" i="1"/>
  <c r="HA29" i="1"/>
  <c r="HA30" i="1"/>
  <c r="HA31" i="1"/>
  <c r="HA32" i="1"/>
  <c r="HA23" i="1"/>
  <c r="HA20" i="1"/>
  <c r="HA19" i="1"/>
  <c r="HA17" i="1"/>
  <c r="HA16" i="1"/>
  <c r="HA14" i="1"/>
  <c r="HA13" i="1"/>
  <c r="HA7" i="1"/>
  <c r="HA8" i="1"/>
  <c r="HA9" i="1"/>
  <c r="HA10" i="1"/>
  <c r="HA11" i="1"/>
  <c r="HA6" i="1"/>
  <c r="HA58" i="1"/>
  <c r="HA57" i="1"/>
  <c r="HA61" i="1"/>
  <c r="HA62" i="1"/>
  <c r="HA63" i="1"/>
  <c r="HA60" i="1"/>
  <c r="HA66" i="1"/>
  <c r="HA67" i="1"/>
  <c r="HA68" i="1"/>
  <c r="HA69" i="1"/>
  <c r="HA70" i="1"/>
  <c r="HA71" i="1"/>
  <c r="HA72" i="1"/>
  <c r="HA73" i="1"/>
  <c r="HA74" i="1"/>
  <c r="HA75" i="1"/>
  <c r="HA76" i="1"/>
  <c r="HA77" i="1"/>
  <c r="HA78" i="1"/>
  <c r="HA65" i="1"/>
  <c r="GY66" i="1"/>
  <c r="GY67" i="1"/>
  <c r="GY68" i="1"/>
  <c r="GY69" i="1"/>
  <c r="GY70" i="1"/>
  <c r="GY71" i="1"/>
  <c r="GY72" i="1"/>
  <c r="GY73" i="1"/>
  <c r="GY74" i="1"/>
  <c r="GY75" i="1"/>
  <c r="GY76" i="1"/>
  <c r="GY77" i="1"/>
  <c r="GY78" i="1"/>
  <c r="GY65" i="1"/>
  <c r="GY61" i="1"/>
  <c r="GY62" i="1"/>
  <c r="GY63" i="1"/>
  <c r="GY60" i="1"/>
  <c r="GY58" i="1"/>
  <c r="GY57" i="1"/>
  <c r="GY54" i="1"/>
  <c r="GY55" i="1"/>
  <c r="GY53" i="1"/>
  <c r="GY51" i="1"/>
  <c r="GY50" i="1"/>
  <c r="GY48" i="1"/>
  <c r="GY47" i="1"/>
  <c r="GY45" i="1"/>
  <c r="GY44" i="1"/>
  <c r="GY42" i="1"/>
  <c r="GY41" i="1"/>
  <c r="GY39" i="1"/>
  <c r="GY38" i="1"/>
  <c r="GY36" i="1"/>
  <c r="GY35" i="1"/>
  <c r="GY34" i="1"/>
  <c r="GY24" i="1"/>
  <c r="GY25" i="1"/>
  <c r="GY26" i="1"/>
  <c r="GY27" i="1"/>
  <c r="GY28" i="1"/>
  <c r="GY29" i="1"/>
  <c r="GY30" i="1"/>
  <c r="GY31" i="1"/>
  <c r="GY32" i="1"/>
  <c r="GY23" i="1"/>
  <c r="GY20" i="1"/>
  <c r="GY19" i="1"/>
  <c r="GY17" i="1"/>
  <c r="GY16" i="1"/>
  <c r="GY14" i="1"/>
  <c r="GY13" i="1"/>
  <c r="GY7" i="1"/>
  <c r="GY8" i="1"/>
  <c r="GY9" i="1"/>
  <c r="GY10" i="1"/>
  <c r="GY11" i="1"/>
  <c r="GY6" i="1"/>
  <c r="HS66" i="1"/>
  <c r="HS67" i="1"/>
  <c r="HS68" i="1"/>
  <c r="HS69" i="1"/>
  <c r="HS70" i="1"/>
  <c r="HS71" i="1"/>
  <c r="HS72" i="1"/>
  <c r="HS73" i="1"/>
  <c r="HS74" i="1"/>
  <c r="HS75" i="1"/>
  <c r="HS76" i="1"/>
  <c r="HS77" i="1"/>
  <c r="HS78" i="1"/>
  <c r="HS65" i="1"/>
  <c r="HS61" i="1"/>
  <c r="HS58" i="1"/>
  <c r="HS57" i="1"/>
  <c r="HS55" i="1"/>
  <c r="HS54" i="1"/>
  <c r="HS53" i="1"/>
  <c r="HS51" i="1"/>
  <c r="HS50" i="1"/>
  <c r="HS48" i="1"/>
  <c r="HS47" i="1"/>
  <c r="HS45" i="1"/>
  <c r="HS44" i="1"/>
  <c r="HS42" i="1"/>
  <c r="HS41" i="1"/>
  <c r="HS39" i="1"/>
  <c r="HS38" i="1"/>
  <c r="HS35" i="1"/>
  <c r="HS36" i="1"/>
  <c r="HS34" i="1"/>
  <c r="HS24" i="1"/>
  <c r="HS25" i="1"/>
  <c r="HS26" i="1"/>
  <c r="HS27" i="1"/>
  <c r="HS28" i="1"/>
  <c r="HS29" i="1"/>
  <c r="HS30" i="1"/>
  <c r="HS31" i="1"/>
  <c r="HS32" i="1"/>
  <c r="HS23" i="1"/>
  <c r="IO66" i="1"/>
  <c r="IO67" i="1"/>
  <c r="IO68" i="1"/>
  <c r="IO69" i="1"/>
  <c r="IO70" i="1"/>
  <c r="IO71" i="1"/>
  <c r="IO72" i="1"/>
  <c r="IO73" i="1"/>
  <c r="IO74" i="1"/>
  <c r="IO75" i="1"/>
  <c r="IO76" i="1"/>
  <c r="IO77" i="1"/>
  <c r="IO78" i="1"/>
  <c r="IO65" i="1"/>
  <c r="IO61" i="1"/>
  <c r="IO58" i="1"/>
  <c r="IO57" i="1"/>
  <c r="IO54" i="1"/>
  <c r="IO55" i="1"/>
  <c r="IO53" i="1"/>
  <c r="IO51" i="1"/>
  <c r="IO50" i="1"/>
  <c r="IO48" i="1"/>
  <c r="IO47" i="1"/>
  <c r="IO45" i="1"/>
  <c r="IO44" i="1"/>
  <c r="IO42" i="1"/>
  <c r="IO41" i="1"/>
  <c r="IO39" i="1"/>
  <c r="IO38" i="1"/>
  <c r="IO35" i="1"/>
  <c r="IO36" i="1"/>
  <c r="IO34" i="1"/>
  <c r="IO24" i="1"/>
  <c r="IO25" i="1"/>
  <c r="IO26" i="1"/>
  <c r="IO27" i="1"/>
  <c r="IO28" i="1"/>
  <c r="IO29" i="1"/>
  <c r="IO30" i="1"/>
  <c r="IO31" i="1"/>
  <c r="IO32" i="1"/>
  <c r="IO23" i="1"/>
  <c r="HZ20" i="1"/>
  <c r="HZ19" i="1"/>
  <c r="HZ17" i="1"/>
  <c r="HZ16" i="1"/>
  <c r="HZ14" i="1"/>
  <c r="HZ13" i="1"/>
  <c r="HZ7" i="1"/>
  <c r="HZ8" i="1"/>
  <c r="HZ9" i="1"/>
  <c r="HZ10" i="1"/>
  <c r="HZ11" i="1"/>
  <c r="HZ6" i="1"/>
  <c r="HD20" i="1"/>
  <c r="HD19" i="1"/>
  <c r="HD17" i="1"/>
  <c r="HD16" i="1"/>
  <c r="HD14" i="1"/>
  <c r="HD13" i="1"/>
  <c r="HD7" i="1"/>
  <c r="HD8" i="1"/>
  <c r="HD9" i="1"/>
  <c r="HD10" i="1"/>
  <c r="HD11" i="1"/>
  <c r="HD6" i="1"/>
  <c r="IV20" i="1"/>
  <c r="IV19" i="1"/>
  <c r="IV17" i="1"/>
  <c r="IV16" i="1"/>
  <c r="IV14" i="1"/>
  <c r="IV13" i="1"/>
  <c r="IV7" i="1"/>
  <c r="IV8" i="1"/>
  <c r="IV9" i="1"/>
  <c r="IV10" i="1"/>
  <c r="IV11" i="1"/>
  <c r="IV6" i="1"/>
  <c r="IO20" i="1"/>
  <c r="IO19" i="1"/>
  <c r="IO7" i="1"/>
  <c r="IO8" i="1"/>
  <c r="IO9" i="1"/>
  <c r="IO10" i="1"/>
  <c r="IO11" i="1"/>
  <c r="IO6" i="1"/>
  <c r="GW66" i="1"/>
  <c r="GW67" i="1"/>
  <c r="GW68" i="1"/>
  <c r="GW69" i="1"/>
  <c r="GW70" i="1"/>
  <c r="GW71" i="1"/>
  <c r="GW72" i="1"/>
  <c r="GW73" i="1"/>
  <c r="GW74" i="1"/>
  <c r="GW75" i="1"/>
  <c r="GW76" i="1"/>
  <c r="GW77" i="1"/>
  <c r="GW78" i="1"/>
  <c r="GW65" i="1"/>
  <c r="GW61" i="1"/>
  <c r="GW58" i="1"/>
  <c r="GW57" i="1"/>
  <c r="GW54" i="1"/>
  <c r="GW55" i="1"/>
  <c r="GW53" i="1"/>
  <c r="GW51" i="1"/>
  <c r="GW50" i="1"/>
  <c r="GW48" i="1"/>
  <c r="GW47" i="1"/>
  <c r="GW45" i="1"/>
  <c r="GW44" i="1"/>
  <c r="GW42" i="1"/>
  <c r="GW41" i="1"/>
  <c r="GW39" i="1"/>
  <c r="GW38" i="1"/>
  <c r="GW35" i="1"/>
  <c r="GW36" i="1"/>
  <c r="GW34" i="1"/>
  <c r="GW24" i="1"/>
  <c r="GW25" i="1"/>
  <c r="GW26" i="1"/>
  <c r="GW27" i="1"/>
  <c r="GW28" i="1"/>
  <c r="GW29" i="1"/>
  <c r="GW30" i="1"/>
  <c r="GW31" i="1"/>
  <c r="GW32" i="1"/>
  <c r="GW23" i="1"/>
  <c r="GW20" i="1"/>
  <c r="GW19" i="1"/>
  <c r="GW17" i="1"/>
  <c r="GW16" i="1"/>
  <c r="GW7" i="1"/>
  <c r="GW8" i="1"/>
  <c r="GW9" i="1"/>
  <c r="GW10" i="1"/>
  <c r="GW11" i="1"/>
  <c r="GW6" i="1"/>
  <c r="HS20" i="1"/>
  <c r="HS19" i="1"/>
  <c r="HS7" i="1"/>
  <c r="HS8" i="1"/>
  <c r="HS9" i="1"/>
  <c r="HS10" i="1"/>
  <c r="HS11" i="1"/>
  <c r="HS6" i="1"/>
  <c r="HS17" i="1"/>
  <c r="IO17" i="1"/>
  <c r="IO16" i="1"/>
  <c r="IO14" i="1"/>
  <c r="HS14" i="1"/>
  <c r="GW14" i="1"/>
  <c r="GW13" i="1"/>
  <c r="HS13" i="1"/>
  <c r="IO13" i="1"/>
  <c r="HS16" i="1"/>
  <c r="GE24" i="13"/>
  <c r="GE25" i="13"/>
  <c r="GE26" i="13"/>
  <c r="GE27" i="13"/>
  <c r="GE28" i="13"/>
  <c r="GE29" i="13"/>
  <c r="GE30" i="13"/>
  <c r="GE31" i="13"/>
  <c r="GE32" i="13"/>
  <c r="GE23" i="13"/>
  <c r="GE36" i="13"/>
  <c r="GE35" i="13"/>
  <c r="GE34" i="13"/>
  <c r="GE39" i="13"/>
  <c r="GE38" i="13"/>
  <c r="GE42" i="13"/>
  <c r="GE41" i="13"/>
  <c r="GE45" i="13"/>
  <c r="GE44" i="13"/>
  <c r="GE48" i="13"/>
  <c r="GE47" i="13"/>
  <c r="GE51" i="13"/>
  <c r="GE50" i="13"/>
  <c r="GE54" i="13"/>
  <c r="GE55" i="13"/>
  <c r="GE53" i="13"/>
  <c r="GE58" i="13"/>
  <c r="GE57" i="13"/>
  <c r="GE61" i="13"/>
  <c r="GE66" i="13"/>
  <c r="GE67" i="13"/>
  <c r="GE68" i="13"/>
  <c r="GE69" i="13"/>
  <c r="GE70" i="13"/>
  <c r="GE71" i="13"/>
  <c r="GE72" i="13"/>
  <c r="GE73" i="13"/>
  <c r="GE74" i="13"/>
  <c r="GE75" i="13"/>
  <c r="GE76" i="13"/>
  <c r="GE77" i="13"/>
  <c r="GE78" i="13"/>
  <c r="GE65" i="13"/>
  <c r="GE20" i="13"/>
  <c r="GE19" i="13"/>
  <c r="GE17" i="13"/>
  <c r="GE16" i="13"/>
  <c r="GE14" i="13"/>
  <c r="GE13" i="13"/>
  <c r="GE7" i="13"/>
  <c r="GE8" i="13"/>
  <c r="GE9" i="13"/>
  <c r="GE10" i="13"/>
  <c r="GE11" i="13"/>
  <c r="GE6" i="13"/>
  <c r="O38" i="12"/>
  <c r="E61" i="11"/>
  <c r="D61" i="11"/>
  <c r="C54" i="11"/>
  <c r="D53" i="11"/>
  <c r="E53" i="11"/>
  <c r="D52" i="11"/>
  <c r="D51" i="11"/>
  <c r="D50" i="11"/>
  <c r="D48" i="11"/>
  <c r="D47" i="11"/>
  <c r="C53" i="11"/>
  <c r="C52" i="11"/>
  <c r="C51" i="11"/>
  <c r="C50" i="11"/>
  <c r="C48" i="11"/>
  <c r="C47" i="11"/>
  <c r="C45" i="11"/>
  <c r="C44" i="11"/>
  <c r="C42" i="11"/>
  <c r="C41" i="11"/>
  <c r="C39" i="11"/>
  <c r="C38" i="11"/>
  <c r="C32" i="11"/>
  <c r="C33" i="11"/>
  <c r="C31" i="11"/>
  <c r="C36" i="11"/>
  <c r="C35" i="11"/>
  <c r="D45" i="11"/>
  <c r="D44" i="11"/>
  <c r="D42" i="11"/>
  <c r="D41" i="11"/>
  <c r="D36" i="11"/>
  <c r="D35" i="11"/>
  <c r="D76" i="11"/>
  <c r="E76" i="11"/>
  <c r="F76" i="11"/>
  <c r="C76" i="11"/>
  <c r="F61" i="11"/>
  <c r="C61" i="11"/>
  <c r="E56" i="11"/>
  <c r="F56" i="11"/>
  <c r="F53" i="11"/>
  <c r="E49" i="11"/>
  <c r="F49" i="11"/>
  <c r="E46" i="11"/>
  <c r="F46" i="11"/>
  <c r="E43" i="11"/>
  <c r="F43" i="11"/>
  <c r="F30" i="11"/>
  <c r="F34" i="11"/>
  <c r="F37" i="11"/>
  <c r="F40" i="11"/>
  <c r="D40" i="11"/>
  <c r="E40" i="11"/>
  <c r="D37" i="11"/>
  <c r="E37" i="11"/>
  <c r="D34" i="11"/>
  <c r="E34" i="11"/>
  <c r="E30" i="11"/>
  <c r="C34" i="11"/>
  <c r="C37" i="11"/>
  <c r="C40" i="11"/>
  <c r="C43" i="11"/>
  <c r="C46" i="11"/>
  <c r="C49" i="11"/>
  <c r="D56" i="11"/>
  <c r="D55" i="11"/>
  <c r="D54" i="11"/>
  <c r="D49" i="11"/>
  <c r="D46" i="11"/>
  <c r="D43" i="11"/>
  <c r="D39" i="11"/>
  <c r="D38" i="11"/>
  <c r="D32" i="11"/>
  <c r="D33" i="11"/>
  <c r="D31" i="11"/>
  <c r="H34" i="11"/>
  <c r="D30" i="11"/>
  <c r="D23" i="11"/>
  <c r="D24" i="11"/>
  <c r="D25" i="11"/>
  <c r="D26" i="11"/>
  <c r="D27" i="11"/>
  <c r="D28" i="11"/>
  <c r="D29" i="11"/>
  <c r="D21" i="11"/>
  <c r="D22" i="11"/>
  <c r="D20" i="11"/>
  <c r="D19" i="12"/>
  <c r="D16" i="12"/>
  <c r="D13" i="12"/>
  <c r="D10" i="12"/>
  <c r="N19" i="11"/>
  <c r="E9" i="11"/>
  <c r="D12" i="11"/>
  <c r="D15" i="11"/>
  <c r="D18" i="11"/>
  <c r="D17" i="11"/>
  <c r="D16" i="11"/>
  <c r="D14" i="11"/>
  <c r="D13" i="11"/>
  <c r="D11" i="11"/>
  <c r="D10" i="11"/>
  <c r="D9" i="11"/>
  <c r="D6" i="11"/>
  <c r="D7" i="11"/>
  <c r="D8" i="11"/>
  <c r="D5" i="11"/>
  <c r="D4" i="11"/>
  <c r="D3" i="11"/>
  <c r="C3" i="11"/>
  <c r="C4" i="11"/>
  <c r="C5" i="11"/>
  <c r="C6" i="11"/>
  <c r="C7" i="11"/>
  <c r="C8" i="11"/>
  <c r="D19" i="11"/>
  <c r="H54" i="11"/>
  <c r="H55" i="11"/>
  <c r="H56" i="11" s="1"/>
  <c r="C55" i="11"/>
  <c r="C56" i="11" s="1"/>
  <c r="H29" i="11"/>
  <c r="C29" i="11" s="1"/>
  <c r="H28" i="11"/>
  <c r="C28" i="11" s="1"/>
  <c r="H27" i="11"/>
  <c r="C27" i="11" s="1"/>
  <c r="H26" i="11"/>
  <c r="C26" i="11" s="1"/>
  <c r="H25" i="11"/>
  <c r="C25" i="11" s="1"/>
  <c r="H24" i="11"/>
  <c r="C24" i="11" s="1"/>
  <c r="H23" i="11"/>
  <c r="C23" i="11" s="1"/>
  <c r="H22" i="11"/>
  <c r="C22" i="11" s="1"/>
  <c r="H21" i="11"/>
  <c r="C21" i="11" s="1"/>
  <c r="H20" i="11"/>
  <c r="C20" i="11" s="1"/>
  <c r="H18" i="12"/>
  <c r="H17" i="12"/>
  <c r="H12" i="12"/>
  <c r="H11" i="12"/>
  <c r="H15" i="12"/>
  <c r="H14" i="12"/>
  <c r="H5" i="12"/>
  <c r="H6" i="12"/>
  <c r="H7" i="12"/>
  <c r="H8" i="12"/>
  <c r="H9" i="12"/>
  <c r="H4" i="12"/>
  <c r="G18" i="11"/>
  <c r="H17" i="11"/>
  <c r="H16" i="11"/>
  <c r="H14" i="11"/>
  <c r="H13" i="11"/>
  <c r="H11" i="11"/>
  <c r="H10" i="11"/>
  <c r="H4" i="11"/>
  <c r="H5" i="11"/>
  <c r="H6" i="11"/>
  <c r="F7" i="12" s="1"/>
  <c r="P7" i="12" s="1"/>
  <c r="H7" i="11"/>
  <c r="H8" i="11"/>
  <c r="H3" i="11"/>
  <c r="IF82" i="13"/>
  <c r="IF22" i="13"/>
  <c r="IF80" i="13" s="1"/>
  <c r="IE79" i="13"/>
  <c r="ID79" i="13"/>
  <c r="HX79" i="13"/>
  <c r="HV79" i="13"/>
  <c r="HT79" i="13"/>
  <c r="HR79" i="13"/>
  <c r="HQ79" i="13"/>
  <c r="HP79" i="13"/>
  <c r="HK79" i="13"/>
  <c r="HJ79" i="13"/>
  <c r="HD79" i="13"/>
  <c r="HB79" i="13"/>
  <c r="GZ79" i="13"/>
  <c r="GX79" i="13"/>
  <c r="GW79" i="13"/>
  <c r="GV79" i="13"/>
  <c r="GQ79" i="13"/>
  <c r="GP79" i="13"/>
  <c r="GJ79" i="13"/>
  <c r="GH79" i="13"/>
  <c r="GF79" i="13"/>
  <c r="GD79" i="13"/>
  <c r="GC79" i="13"/>
  <c r="GB79" i="13"/>
  <c r="FW79" i="13"/>
  <c r="FV79" i="13"/>
  <c r="FP79" i="13"/>
  <c r="FN79" i="13"/>
  <c r="FL79" i="13"/>
  <c r="FJ79" i="13"/>
  <c r="FI79" i="13"/>
  <c r="FH79" i="13"/>
  <c r="FC79" i="13"/>
  <c r="FB79" i="13"/>
  <c r="EV79" i="13"/>
  <c r="ET79" i="13"/>
  <c r="ER79" i="13"/>
  <c r="EP79" i="13"/>
  <c r="EO79" i="13"/>
  <c r="EN79" i="13"/>
  <c r="EI79" i="13"/>
  <c r="EH79" i="13"/>
  <c r="EB79" i="13"/>
  <c r="DZ79" i="13"/>
  <c r="DX79" i="13"/>
  <c r="DV79" i="13"/>
  <c r="DU79" i="13"/>
  <c r="DT79" i="13"/>
  <c r="DO79" i="13"/>
  <c r="DN79" i="13"/>
  <c r="DH79" i="13"/>
  <c r="DF79" i="13"/>
  <c r="DD79" i="13"/>
  <c r="DB79" i="13"/>
  <c r="DA79" i="13"/>
  <c r="CZ79" i="13"/>
  <c r="CU79" i="13"/>
  <c r="CT79" i="13"/>
  <c r="CN79" i="13"/>
  <c r="CL79" i="13"/>
  <c r="CJ79" i="13"/>
  <c r="CH79" i="13"/>
  <c r="CG79" i="13"/>
  <c r="CF79" i="13"/>
  <c r="CA79" i="13"/>
  <c r="BZ79" i="13"/>
  <c r="BT79" i="13"/>
  <c r="BR79" i="13"/>
  <c r="BP79" i="13"/>
  <c r="BN79" i="13"/>
  <c r="BL79" i="13"/>
  <c r="BG79" i="13"/>
  <c r="BF79" i="13"/>
  <c r="AZ79" i="13"/>
  <c r="AX79" i="13"/>
  <c r="AV79" i="13"/>
  <c r="AT79" i="13"/>
  <c r="AR79" i="13"/>
  <c r="AM79" i="13"/>
  <c r="AL79" i="13"/>
  <c r="AF79" i="13"/>
  <c r="AD79" i="13"/>
  <c r="AB79" i="13"/>
  <c r="Z79" i="13"/>
  <c r="Y79" i="13"/>
  <c r="X79" i="13"/>
  <c r="S79" i="13"/>
  <c r="R79" i="13"/>
  <c r="L79" i="13"/>
  <c r="J79" i="13"/>
  <c r="H79" i="13"/>
  <c r="F79" i="13"/>
  <c r="E79" i="13"/>
  <c r="D79" i="13"/>
  <c r="IC78" i="13"/>
  <c r="IB78" i="13"/>
  <c r="IA78" i="13"/>
  <c r="HW78" i="13"/>
  <c r="HU78" i="13"/>
  <c r="HS78" i="13"/>
  <c r="HO78" i="13"/>
  <c r="HI78" i="13"/>
  <c r="HH78" i="13"/>
  <c r="HG78" i="13"/>
  <c r="HC78" i="13"/>
  <c r="HA78" i="13"/>
  <c r="GY78" i="13"/>
  <c r="GU78" i="13"/>
  <c r="GO78" i="13"/>
  <c r="GN78" i="13"/>
  <c r="GM78" i="13"/>
  <c r="GI78" i="13"/>
  <c r="GG78" i="13"/>
  <c r="GA78" i="13"/>
  <c r="FU78" i="13"/>
  <c r="FT78" i="13"/>
  <c r="FS78" i="13"/>
  <c r="FO78" i="13"/>
  <c r="FM78" i="13"/>
  <c r="FK78" i="13"/>
  <c r="FG78" i="13"/>
  <c r="FA78" i="13"/>
  <c r="EZ78" i="13"/>
  <c r="EY78" i="13"/>
  <c r="EU78" i="13"/>
  <c r="ES78" i="13"/>
  <c r="EQ78" i="13"/>
  <c r="EM78" i="13"/>
  <c r="EG78" i="13"/>
  <c r="EF78" i="13"/>
  <c r="EE78" i="13"/>
  <c r="EA78" i="13"/>
  <c r="DY78" i="13"/>
  <c r="DW78" i="13"/>
  <c r="DS78" i="13"/>
  <c r="DM78" i="13"/>
  <c r="DL78" i="13"/>
  <c r="DK78" i="13"/>
  <c r="DG78" i="13"/>
  <c r="DE78" i="13"/>
  <c r="DC78" i="13"/>
  <c r="CY78" i="13"/>
  <c r="CS78" i="13"/>
  <c r="CR78" i="13"/>
  <c r="CQ78" i="13"/>
  <c r="CM78" i="13"/>
  <c r="CK78" i="13"/>
  <c r="CI78" i="13"/>
  <c r="CE78" i="13"/>
  <c r="BX78" i="13"/>
  <c r="BW78" i="13"/>
  <c r="BS78" i="13"/>
  <c r="BQ78" i="13"/>
  <c r="BO78" i="13"/>
  <c r="BM78" i="13"/>
  <c r="BY78" i="13" s="1"/>
  <c r="BK78" i="13"/>
  <c r="BD78" i="13"/>
  <c r="BC78" i="13"/>
  <c r="AY78" i="13"/>
  <c r="AW78" i="13"/>
  <c r="AU78" i="13"/>
  <c r="AS78" i="13"/>
  <c r="BE78" i="13" s="1"/>
  <c r="AQ78" i="13"/>
  <c r="AK78" i="13"/>
  <c r="AJ78" i="13"/>
  <c r="AI78" i="13"/>
  <c r="AE78" i="13"/>
  <c r="AC78" i="13"/>
  <c r="AA78" i="13"/>
  <c r="W78" i="13"/>
  <c r="Q78" i="13"/>
  <c r="P78" i="13"/>
  <c r="O78" i="13"/>
  <c r="K78" i="13"/>
  <c r="I78" i="13"/>
  <c r="G78" i="13"/>
  <c r="C78" i="13"/>
  <c r="IC77" i="13"/>
  <c r="IB77" i="13"/>
  <c r="IA77" i="13"/>
  <c r="HW77" i="13"/>
  <c r="HU77" i="13"/>
  <c r="HS77" i="13"/>
  <c r="HO77" i="13"/>
  <c r="HI77" i="13"/>
  <c r="HH77" i="13"/>
  <c r="HG77" i="13"/>
  <c r="HC77" i="13"/>
  <c r="HA77" i="13"/>
  <c r="GY77" i="13"/>
  <c r="GU77" i="13"/>
  <c r="GO77" i="13"/>
  <c r="GN77" i="13"/>
  <c r="GM77" i="13"/>
  <c r="GI77" i="13"/>
  <c r="GG77" i="13"/>
  <c r="GA77" i="13"/>
  <c r="FU77" i="13"/>
  <c r="FT77" i="13"/>
  <c r="FS77" i="13"/>
  <c r="FO77" i="13"/>
  <c r="FM77" i="13"/>
  <c r="FK77" i="13"/>
  <c r="FG77" i="13"/>
  <c r="FA77" i="13"/>
  <c r="EZ77" i="13"/>
  <c r="EY77" i="13"/>
  <c r="EU77" i="13"/>
  <c r="ES77" i="13"/>
  <c r="EQ77" i="13"/>
  <c r="EM77" i="13"/>
  <c r="EG77" i="13"/>
  <c r="EF77" i="13"/>
  <c r="EE77" i="13"/>
  <c r="EA77" i="13"/>
  <c r="DY77" i="13"/>
  <c r="DW77" i="13"/>
  <c r="DS77" i="13"/>
  <c r="DM77" i="13"/>
  <c r="DL77" i="13"/>
  <c r="DK77" i="13"/>
  <c r="DG77" i="13"/>
  <c r="DE77" i="13"/>
  <c r="DC77" i="13"/>
  <c r="CY77" i="13"/>
  <c r="CS77" i="13"/>
  <c r="CR77" i="13"/>
  <c r="CQ77" i="13"/>
  <c r="CM77" i="13"/>
  <c r="CK77" i="13"/>
  <c r="CI77" i="13"/>
  <c r="CE77" i="13"/>
  <c r="BX77" i="13"/>
  <c r="BW77" i="13"/>
  <c r="BS77" i="13"/>
  <c r="BQ77" i="13"/>
  <c r="BO77" i="13"/>
  <c r="BM77" i="13"/>
  <c r="BY77" i="13" s="1"/>
  <c r="BK77" i="13"/>
  <c r="BD77" i="13"/>
  <c r="BC77" i="13"/>
  <c r="AY77" i="13"/>
  <c r="AW77" i="13"/>
  <c r="AU77" i="13"/>
  <c r="AS77" i="13"/>
  <c r="BE77" i="13" s="1"/>
  <c r="AQ77" i="13"/>
  <c r="AK77" i="13"/>
  <c r="AJ77" i="13"/>
  <c r="AI77" i="13"/>
  <c r="AE77" i="13"/>
  <c r="AC77" i="13"/>
  <c r="AA77" i="13"/>
  <c r="W77" i="13"/>
  <c r="Q77" i="13"/>
  <c r="P77" i="13"/>
  <c r="O77" i="13"/>
  <c r="K77" i="13"/>
  <c r="I77" i="13"/>
  <c r="G77" i="13"/>
  <c r="C77" i="13"/>
  <c r="IC76" i="13"/>
  <c r="IB76" i="13"/>
  <c r="IA76" i="13"/>
  <c r="HW76" i="13"/>
  <c r="HU76" i="13"/>
  <c r="HS76" i="13"/>
  <c r="HO76" i="13"/>
  <c r="HI76" i="13"/>
  <c r="HH76" i="13"/>
  <c r="HG76" i="13"/>
  <c r="HC76" i="13"/>
  <c r="HA76" i="13"/>
  <c r="GY76" i="13"/>
  <c r="GU76" i="13"/>
  <c r="GO76" i="13"/>
  <c r="GN76" i="13"/>
  <c r="GM76" i="13"/>
  <c r="GI76" i="13"/>
  <c r="GG76" i="13"/>
  <c r="GA76" i="13"/>
  <c r="FU76" i="13"/>
  <c r="FT76" i="13"/>
  <c r="FS76" i="13"/>
  <c r="FO76" i="13"/>
  <c r="FM76" i="13"/>
  <c r="FK76" i="13"/>
  <c r="FG76" i="13"/>
  <c r="FA76" i="13"/>
  <c r="EZ76" i="13"/>
  <c r="EY76" i="13"/>
  <c r="EU76" i="13"/>
  <c r="ES76" i="13"/>
  <c r="EQ76" i="13"/>
  <c r="EM76" i="13"/>
  <c r="EG76" i="13"/>
  <c r="EF76" i="13"/>
  <c r="EE76" i="13"/>
  <c r="EA76" i="13"/>
  <c r="DY76" i="13"/>
  <c r="DW76" i="13"/>
  <c r="DS76" i="13"/>
  <c r="DM76" i="13"/>
  <c r="DL76" i="13"/>
  <c r="DK76" i="13"/>
  <c r="DG76" i="13"/>
  <c r="DE76" i="13"/>
  <c r="DC76" i="13"/>
  <c r="CY76" i="13"/>
  <c r="CS76" i="13"/>
  <c r="CR76" i="13"/>
  <c r="CQ76" i="13"/>
  <c r="CM76" i="13"/>
  <c r="CK76" i="13"/>
  <c r="CI76" i="13"/>
  <c r="CE76" i="13"/>
  <c r="BX76" i="13"/>
  <c r="BW76" i="13"/>
  <c r="BS76" i="13"/>
  <c r="BQ76" i="13"/>
  <c r="BO76" i="13"/>
  <c r="BM76" i="13"/>
  <c r="BY76" i="13" s="1"/>
  <c r="BK76" i="13"/>
  <c r="BD76" i="13"/>
  <c r="BC76" i="13"/>
  <c r="AY76" i="13"/>
  <c r="AW76" i="13"/>
  <c r="AU76" i="13"/>
  <c r="AS76" i="13"/>
  <c r="BE76" i="13" s="1"/>
  <c r="AQ76" i="13"/>
  <c r="AK76" i="13"/>
  <c r="AJ76" i="13"/>
  <c r="AI76" i="13"/>
  <c r="AE76" i="13"/>
  <c r="AC76" i="13"/>
  <c r="AA76" i="13"/>
  <c r="W76" i="13"/>
  <c r="Q76" i="13"/>
  <c r="P76" i="13"/>
  <c r="O76" i="13"/>
  <c r="K76" i="13"/>
  <c r="I76" i="13"/>
  <c r="G76" i="13"/>
  <c r="C76" i="13"/>
  <c r="IC75" i="13"/>
  <c r="IB75" i="13"/>
  <c r="IA75" i="13"/>
  <c r="HW75" i="13"/>
  <c r="HU75" i="13"/>
  <c r="HS75" i="13"/>
  <c r="HO75" i="13"/>
  <c r="HI75" i="13"/>
  <c r="HH75" i="13"/>
  <c r="HG75" i="13"/>
  <c r="HC75" i="13"/>
  <c r="HA75" i="13"/>
  <c r="GY75" i="13"/>
  <c r="GU75" i="13"/>
  <c r="GO75" i="13"/>
  <c r="GN75" i="13"/>
  <c r="GM75" i="13"/>
  <c r="GI75" i="13"/>
  <c r="GG75" i="13"/>
  <c r="GA75" i="13"/>
  <c r="FU75" i="13"/>
  <c r="FT75" i="13"/>
  <c r="FS75" i="13"/>
  <c r="FO75" i="13"/>
  <c r="FM75" i="13"/>
  <c r="FK75" i="13"/>
  <c r="FG75" i="13"/>
  <c r="FA75" i="13"/>
  <c r="EZ75" i="13"/>
  <c r="EY75" i="13"/>
  <c r="EU75" i="13"/>
  <c r="ES75" i="13"/>
  <c r="EQ75" i="13"/>
  <c r="EM75" i="13"/>
  <c r="EG75" i="13"/>
  <c r="EF75" i="13"/>
  <c r="EE75" i="13"/>
  <c r="EA75" i="13"/>
  <c r="DY75" i="13"/>
  <c r="DW75" i="13"/>
  <c r="DS75" i="13"/>
  <c r="DM75" i="13"/>
  <c r="DL75" i="13"/>
  <c r="DK75" i="13"/>
  <c r="DG75" i="13"/>
  <c r="DE75" i="13"/>
  <c r="DC75" i="13"/>
  <c r="CY75" i="13"/>
  <c r="CS75" i="13"/>
  <c r="CR75" i="13"/>
  <c r="CQ75" i="13"/>
  <c r="CM75" i="13"/>
  <c r="CK75" i="13"/>
  <c r="CI75" i="13"/>
  <c r="CE75" i="13"/>
  <c r="BX75" i="13"/>
  <c r="BW75" i="13"/>
  <c r="BS75" i="13"/>
  <c r="BQ75" i="13"/>
  <c r="BO75" i="13"/>
  <c r="BM75" i="13"/>
  <c r="BY75" i="13" s="1"/>
  <c r="BK75" i="13"/>
  <c r="BD75" i="13"/>
  <c r="BC75" i="13"/>
  <c r="AY75" i="13"/>
  <c r="AW75" i="13"/>
  <c r="AU75" i="13"/>
  <c r="AS75" i="13"/>
  <c r="BE75" i="13" s="1"/>
  <c r="AQ75" i="13"/>
  <c r="AK75" i="13"/>
  <c r="AJ75" i="13"/>
  <c r="AI75" i="13"/>
  <c r="AE75" i="13"/>
  <c r="AC75" i="13"/>
  <c r="AA75" i="13"/>
  <c r="W75" i="13"/>
  <c r="Q75" i="13"/>
  <c r="P75" i="13"/>
  <c r="O75" i="13"/>
  <c r="K75" i="13"/>
  <c r="I75" i="13"/>
  <c r="G75" i="13"/>
  <c r="C75" i="13"/>
  <c r="IC74" i="13"/>
  <c r="IB74" i="13"/>
  <c r="IA74" i="13"/>
  <c r="HW74" i="13"/>
  <c r="HU74" i="13"/>
  <c r="HS74" i="13"/>
  <c r="HO74" i="13"/>
  <c r="HI74" i="13"/>
  <c r="HH74" i="13"/>
  <c r="HG74" i="13"/>
  <c r="HC74" i="13"/>
  <c r="HA74" i="13"/>
  <c r="GY74" i="13"/>
  <c r="GU74" i="13"/>
  <c r="GO74" i="13"/>
  <c r="GN74" i="13"/>
  <c r="GM74" i="13"/>
  <c r="GI74" i="13"/>
  <c r="GG74" i="13"/>
  <c r="GA74" i="13"/>
  <c r="FU74" i="13"/>
  <c r="FT74" i="13"/>
  <c r="FS74" i="13"/>
  <c r="FO74" i="13"/>
  <c r="FM74" i="13"/>
  <c r="FK74" i="13"/>
  <c r="FG74" i="13"/>
  <c r="FA74" i="13"/>
  <c r="EZ74" i="13"/>
  <c r="EY74" i="13"/>
  <c r="EU74" i="13"/>
  <c r="ES74" i="13"/>
  <c r="EQ74" i="13"/>
  <c r="EM74" i="13"/>
  <c r="EG74" i="13"/>
  <c r="EF74" i="13"/>
  <c r="EE74" i="13"/>
  <c r="EA74" i="13"/>
  <c r="DY74" i="13"/>
  <c r="DW74" i="13"/>
  <c r="DS74" i="13"/>
  <c r="DM74" i="13"/>
  <c r="DL74" i="13"/>
  <c r="DK74" i="13"/>
  <c r="DG74" i="13"/>
  <c r="DE74" i="13"/>
  <c r="DC74" i="13"/>
  <c r="CY74" i="13"/>
  <c r="CS74" i="13"/>
  <c r="CR74" i="13"/>
  <c r="CQ74" i="13"/>
  <c r="CM74" i="13"/>
  <c r="CK74" i="13"/>
  <c r="CI74" i="13"/>
  <c r="CE74" i="13"/>
  <c r="BX74" i="13"/>
  <c r="BW74" i="13"/>
  <c r="BS74" i="13"/>
  <c r="BQ74" i="13"/>
  <c r="BO74" i="13"/>
  <c r="BM74" i="13"/>
  <c r="BY74" i="13" s="1"/>
  <c r="BK74" i="13"/>
  <c r="BD74" i="13"/>
  <c r="BC74" i="13"/>
  <c r="AY74" i="13"/>
  <c r="AW74" i="13"/>
  <c r="AU74" i="13"/>
  <c r="AS74" i="13"/>
  <c r="BE74" i="13" s="1"/>
  <c r="AQ74" i="13"/>
  <c r="AK74" i="13"/>
  <c r="AJ74" i="13"/>
  <c r="AI74" i="13"/>
  <c r="AE74" i="13"/>
  <c r="AC74" i="13"/>
  <c r="AA74" i="13"/>
  <c r="W74" i="13"/>
  <c r="Q74" i="13"/>
  <c r="P74" i="13"/>
  <c r="O74" i="13"/>
  <c r="K74" i="13"/>
  <c r="I74" i="13"/>
  <c r="G74" i="13"/>
  <c r="C74" i="13"/>
  <c r="IC73" i="13"/>
  <c r="IB73" i="13"/>
  <c r="IA73" i="13"/>
  <c r="HW73" i="13"/>
  <c r="HU73" i="13"/>
  <c r="HS73" i="13"/>
  <c r="HO73" i="13"/>
  <c r="HI73" i="13"/>
  <c r="HH73" i="13"/>
  <c r="HG73" i="13"/>
  <c r="HC73" i="13"/>
  <c r="HA73" i="13"/>
  <c r="GY73" i="13"/>
  <c r="GU73" i="13"/>
  <c r="GO73" i="13"/>
  <c r="GN73" i="13"/>
  <c r="GM73" i="13"/>
  <c r="GI73" i="13"/>
  <c r="GG73" i="13"/>
  <c r="GA73" i="13"/>
  <c r="FU73" i="13"/>
  <c r="FT73" i="13"/>
  <c r="FS73" i="13"/>
  <c r="FO73" i="13"/>
  <c r="FM73" i="13"/>
  <c r="FK73" i="13"/>
  <c r="FG73" i="13"/>
  <c r="FA73" i="13"/>
  <c r="EZ73" i="13"/>
  <c r="EY73" i="13"/>
  <c r="EU73" i="13"/>
  <c r="ES73" i="13"/>
  <c r="EQ73" i="13"/>
  <c r="EM73" i="13"/>
  <c r="EG73" i="13"/>
  <c r="EF73" i="13"/>
  <c r="EE73" i="13"/>
  <c r="EA73" i="13"/>
  <c r="DY73" i="13"/>
  <c r="DW73" i="13"/>
  <c r="DS73" i="13"/>
  <c r="DM73" i="13"/>
  <c r="DL73" i="13"/>
  <c r="DK73" i="13"/>
  <c r="DG73" i="13"/>
  <c r="DE73" i="13"/>
  <c r="DC73" i="13"/>
  <c r="CY73" i="13"/>
  <c r="CS73" i="13"/>
  <c r="CR73" i="13"/>
  <c r="CQ73" i="13"/>
  <c r="CM73" i="13"/>
  <c r="CK73" i="13"/>
  <c r="CI73" i="13"/>
  <c r="CE73" i="13"/>
  <c r="BX73" i="13"/>
  <c r="BW73" i="13"/>
  <c r="BS73" i="13"/>
  <c r="BQ73" i="13"/>
  <c r="BO73" i="13"/>
  <c r="BM73" i="13"/>
  <c r="BY73" i="13" s="1"/>
  <c r="BK73" i="13"/>
  <c r="BD73" i="13"/>
  <c r="BC73" i="13"/>
  <c r="AY73" i="13"/>
  <c r="AW73" i="13"/>
  <c r="AU73" i="13"/>
  <c r="AS73" i="13"/>
  <c r="BE73" i="13" s="1"/>
  <c r="AQ73" i="13"/>
  <c r="AK73" i="13"/>
  <c r="AJ73" i="13"/>
  <c r="AI73" i="13"/>
  <c r="AE73" i="13"/>
  <c r="AC73" i="13"/>
  <c r="AA73" i="13"/>
  <c r="W73" i="13"/>
  <c r="Q73" i="13"/>
  <c r="P73" i="13"/>
  <c r="O73" i="13"/>
  <c r="K73" i="13"/>
  <c r="I73" i="13"/>
  <c r="G73" i="13"/>
  <c r="C73" i="13"/>
  <c r="IC72" i="13"/>
  <c r="IB72" i="13"/>
  <c r="IA72" i="13"/>
  <c r="HW72" i="13"/>
  <c r="HU72" i="13"/>
  <c r="HS72" i="13"/>
  <c r="HO72" i="13"/>
  <c r="HI72" i="13"/>
  <c r="HH72" i="13"/>
  <c r="HG72" i="13"/>
  <c r="HC72" i="13"/>
  <c r="HA72" i="13"/>
  <c r="GY72" i="13"/>
  <c r="GU72" i="13"/>
  <c r="GO72" i="13"/>
  <c r="GN72" i="13"/>
  <c r="GM72" i="13"/>
  <c r="GI72" i="13"/>
  <c r="GG72" i="13"/>
  <c r="GA72" i="13"/>
  <c r="FU72" i="13"/>
  <c r="FT72" i="13"/>
  <c r="FS72" i="13"/>
  <c r="FO72" i="13"/>
  <c r="FM72" i="13"/>
  <c r="FK72" i="13"/>
  <c r="FG72" i="13"/>
  <c r="FA72" i="13"/>
  <c r="EZ72" i="13"/>
  <c r="EY72" i="13"/>
  <c r="EU72" i="13"/>
  <c r="ES72" i="13"/>
  <c r="EQ72" i="13"/>
  <c r="EM72" i="13"/>
  <c r="EG72" i="13"/>
  <c r="EF72" i="13"/>
  <c r="EE72" i="13"/>
  <c r="EA72" i="13"/>
  <c r="DY72" i="13"/>
  <c r="DW72" i="13"/>
  <c r="DS72" i="13"/>
  <c r="DM72" i="13"/>
  <c r="DL72" i="13"/>
  <c r="DK72" i="13"/>
  <c r="DG72" i="13"/>
  <c r="DE72" i="13"/>
  <c r="DC72" i="13"/>
  <c r="CY72" i="13"/>
  <c r="CS72" i="13"/>
  <c r="CR72" i="13"/>
  <c r="CQ72" i="13"/>
  <c r="CM72" i="13"/>
  <c r="CK72" i="13"/>
  <c r="CI72" i="13"/>
  <c r="CE72" i="13"/>
  <c r="BX72" i="13"/>
  <c r="BW72" i="13"/>
  <c r="BS72" i="13"/>
  <c r="BQ72" i="13"/>
  <c r="BO72" i="13"/>
  <c r="BM72" i="13"/>
  <c r="BY72" i="13" s="1"/>
  <c r="BK72" i="13"/>
  <c r="BD72" i="13"/>
  <c r="BC72" i="13"/>
  <c r="AY72" i="13"/>
  <c r="AW72" i="13"/>
  <c r="AU72" i="13"/>
  <c r="AS72" i="13"/>
  <c r="BE72" i="13" s="1"/>
  <c r="AQ72" i="13"/>
  <c r="AK72" i="13"/>
  <c r="AJ72" i="13"/>
  <c r="AI72" i="13"/>
  <c r="AE72" i="13"/>
  <c r="AC72" i="13"/>
  <c r="AA72" i="13"/>
  <c r="W72" i="13"/>
  <c r="Q72" i="13"/>
  <c r="P72" i="13"/>
  <c r="O72" i="13"/>
  <c r="K72" i="13"/>
  <c r="I72" i="13"/>
  <c r="G72" i="13"/>
  <c r="C72" i="13"/>
  <c r="IC71" i="13"/>
  <c r="IB71" i="13"/>
  <c r="IA71" i="13"/>
  <c r="HW71" i="13"/>
  <c r="HU71" i="13"/>
  <c r="HS71" i="13"/>
  <c r="HO71" i="13"/>
  <c r="HI71" i="13"/>
  <c r="HH71" i="13"/>
  <c r="HG71" i="13"/>
  <c r="HC71" i="13"/>
  <c r="HA71" i="13"/>
  <c r="GY71" i="13"/>
  <c r="GU71" i="13"/>
  <c r="GO71" i="13"/>
  <c r="GN71" i="13"/>
  <c r="GM71" i="13"/>
  <c r="GI71" i="13"/>
  <c r="GG71" i="13"/>
  <c r="GA71" i="13"/>
  <c r="FU71" i="13"/>
  <c r="FT71" i="13"/>
  <c r="FS71" i="13"/>
  <c r="FO71" i="13"/>
  <c r="FM71" i="13"/>
  <c r="FK71" i="13"/>
  <c r="FG71" i="13"/>
  <c r="FA71" i="13"/>
  <c r="EZ71" i="13"/>
  <c r="EY71" i="13"/>
  <c r="EU71" i="13"/>
  <c r="ES71" i="13"/>
  <c r="EQ71" i="13"/>
  <c r="EM71" i="13"/>
  <c r="EG71" i="13"/>
  <c r="EF71" i="13"/>
  <c r="EE71" i="13"/>
  <c r="EA71" i="13"/>
  <c r="DY71" i="13"/>
  <c r="DW71" i="13"/>
  <c r="DS71" i="13"/>
  <c r="DM71" i="13"/>
  <c r="DL71" i="13"/>
  <c r="DK71" i="13"/>
  <c r="DG71" i="13"/>
  <c r="DE71" i="13"/>
  <c r="DC71" i="13"/>
  <c r="CY71" i="13"/>
  <c r="CS71" i="13"/>
  <c r="CR71" i="13"/>
  <c r="CQ71" i="13"/>
  <c r="CM71" i="13"/>
  <c r="CK71" i="13"/>
  <c r="CI71" i="13"/>
  <c r="CE71" i="13"/>
  <c r="BX71" i="13"/>
  <c r="BW71" i="13"/>
  <c r="BS71" i="13"/>
  <c r="BQ71" i="13"/>
  <c r="BO71" i="13"/>
  <c r="BM71" i="13"/>
  <c r="BY71" i="13" s="1"/>
  <c r="BK71" i="13"/>
  <c r="BD71" i="13"/>
  <c r="BC71" i="13"/>
  <c r="AY71" i="13"/>
  <c r="AW71" i="13"/>
  <c r="AU71" i="13"/>
  <c r="AS71" i="13"/>
  <c r="BE71" i="13" s="1"/>
  <c r="AQ71" i="13"/>
  <c r="AK71" i="13"/>
  <c r="AJ71" i="13"/>
  <c r="AI71" i="13"/>
  <c r="AE71" i="13"/>
  <c r="AC71" i="13"/>
  <c r="AA71" i="13"/>
  <c r="W71" i="13"/>
  <c r="Q71" i="13"/>
  <c r="P71" i="13"/>
  <c r="O71" i="13"/>
  <c r="K71" i="13"/>
  <c r="I71" i="13"/>
  <c r="G71" i="13"/>
  <c r="C71" i="13"/>
  <c r="IC70" i="13"/>
  <c r="IB70" i="13"/>
  <c r="IA70" i="13"/>
  <c r="HW70" i="13"/>
  <c r="HU70" i="13"/>
  <c r="HS70" i="13"/>
  <c r="HO70" i="13"/>
  <c r="HI70" i="13"/>
  <c r="HH70" i="13"/>
  <c r="HG70" i="13"/>
  <c r="HC70" i="13"/>
  <c r="HA70" i="13"/>
  <c r="GY70" i="13"/>
  <c r="GU70" i="13"/>
  <c r="GO70" i="13"/>
  <c r="GN70" i="13"/>
  <c r="GM70" i="13"/>
  <c r="GI70" i="13"/>
  <c r="GG70" i="13"/>
  <c r="GA70" i="13"/>
  <c r="FU70" i="13"/>
  <c r="FT70" i="13"/>
  <c r="FS70" i="13"/>
  <c r="FO70" i="13"/>
  <c r="FM70" i="13"/>
  <c r="FK70" i="13"/>
  <c r="FG70" i="13"/>
  <c r="FA70" i="13"/>
  <c r="EZ70" i="13"/>
  <c r="EY70" i="13"/>
  <c r="EU70" i="13"/>
  <c r="ES70" i="13"/>
  <c r="EQ70" i="13"/>
  <c r="EM70" i="13"/>
  <c r="EG70" i="13"/>
  <c r="EF70" i="13"/>
  <c r="EE70" i="13"/>
  <c r="EA70" i="13"/>
  <c r="DY70" i="13"/>
  <c r="DW70" i="13"/>
  <c r="DS70" i="13"/>
  <c r="DM70" i="13"/>
  <c r="DL70" i="13"/>
  <c r="DK70" i="13"/>
  <c r="DG70" i="13"/>
  <c r="DE70" i="13"/>
  <c r="DC70" i="13"/>
  <c r="CY70" i="13"/>
  <c r="CS70" i="13"/>
  <c r="CR70" i="13"/>
  <c r="CQ70" i="13"/>
  <c r="CM70" i="13"/>
  <c r="CK70" i="13"/>
  <c r="CI70" i="13"/>
  <c r="CE70" i="13"/>
  <c r="BX70" i="13"/>
  <c r="BW70" i="13"/>
  <c r="BS70" i="13"/>
  <c r="BQ70" i="13"/>
  <c r="BO70" i="13"/>
  <c r="BM70" i="13"/>
  <c r="BY70" i="13" s="1"/>
  <c r="BK70" i="13"/>
  <c r="BD70" i="13"/>
  <c r="BC70" i="13"/>
  <c r="AY70" i="13"/>
  <c r="AW70" i="13"/>
  <c r="AU70" i="13"/>
  <c r="AS70" i="13"/>
  <c r="BE70" i="13" s="1"/>
  <c r="AQ70" i="13"/>
  <c r="AK70" i="13"/>
  <c r="AJ70" i="13"/>
  <c r="AI70" i="13"/>
  <c r="AE70" i="13"/>
  <c r="AC70" i="13"/>
  <c r="AA70" i="13"/>
  <c r="W70" i="13"/>
  <c r="Q70" i="13"/>
  <c r="P70" i="13"/>
  <c r="O70" i="13"/>
  <c r="K70" i="13"/>
  <c r="I70" i="13"/>
  <c r="G70" i="13"/>
  <c r="C70" i="13"/>
  <c r="IC69" i="13"/>
  <c r="IB69" i="13"/>
  <c r="IA69" i="13"/>
  <c r="HW69" i="13"/>
  <c r="HU69" i="13"/>
  <c r="HS69" i="13"/>
  <c r="HO69" i="13"/>
  <c r="HI69" i="13"/>
  <c r="HH69" i="13"/>
  <c r="HG69" i="13"/>
  <c r="HC69" i="13"/>
  <c r="HA69" i="13"/>
  <c r="GY69" i="13"/>
  <c r="GU69" i="13"/>
  <c r="GO69" i="13"/>
  <c r="GN69" i="13"/>
  <c r="GM69" i="13"/>
  <c r="GI69" i="13"/>
  <c r="GG69" i="13"/>
  <c r="GA69" i="13"/>
  <c r="FU69" i="13"/>
  <c r="FT69" i="13"/>
  <c r="FS69" i="13"/>
  <c r="FO69" i="13"/>
  <c r="FM69" i="13"/>
  <c r="FK69" i="13"/>
  <c r="FG69" i="13"/>
  <c r="FA69" i="13"/>
  <c r="EZ69" i="13"/>
  <c r="EY69" i="13"/>
  <c r="EU69" i="13"/>
  <c r="ES69" i="13"/>
  <c r="EQ69" i="13"/>
  <c r="EM69" i="13"/>
  <c r="EG69" i="13"/>
  <c r="EF69" i="13"/>
  <c r="EE69" i="13"/>
  <c r="EA69" i="13"/>
  <c r="DY69" i="13"/>
  <c r="DW69" i="13"/>
  <c r="DS69" i="13"/>
  <c r="DM69" i="13"/>
  <c r="DL69" i="13"/>
  <c r="DK69" i="13"/>
  <c r="DG69" i="13"/>
  <c r="DE69" i="13"/>
  <c r="DC69" i="13"/>
  <c r="CY69" i="13"/>
  <c r="CS69" i="13"/>
  <c r="CR69" i="13"/>
  <c r="CQ69" i="13"/>
  <c r="CM69" i="13"/>
  <c r="CK69" i="13"/>
  <c r="CI69" i="13"/>
  <c r="CE69" i="13"/>
  <c r="BX69" i="13"/>
  <c r="BW69" i="13"/>
  <c r="BS69" i="13"/>
  <c r="BQ69" i="13"/>
  <c r="BO69" i="13"/>
  <c r="BM69" i="13"/>
  <c r="BY69" i="13" s="1"/>
  <c r="BK69" i="13"/>
  <c r="BD69" i="13"/>
  <c r="BC69" i="13"/>
  <c r="AY69" i="13"/>
  <c r="AW69" i="13"/>
  <c r="AU69" i="13"/>
  <c r="AS69" i="13"/>
  <c r="BE69" i="13" s="1"/>
  <c r="AQ69" i="13"/>
  <c r="AK69" i="13"/>
  <c r="AJ69" i="13"/>
  <c r="AI69" i="13"/>
  <c r="AE69" i="13"/>
  <c r="AC69" i="13"/>
  <c r="AA69" i="13"/>
  <c r="W69" i="13"/>
  <c r="Q69" i="13"/>
  <c r="P69" i="13"/>
  <c r="O69" i="13"/>
  <c r="K69" i="13"/>
  <c r="I69" i="13"/>
  <c r="G69" i="13"/>
  <c r="C69" i="13"/>
  <c r="IC68" i="13"/>
  <c r="IB68" i="13"/>
  <c r="IA68" i="13"/>
  <c r="HW68" i="13"/>
  <c r="HU68" i="13"/>
  <c r="HS68" i="13"/>
  <c r="HO68" i="13"/>
  <c r="HI68" i="13"/>
  <c r="HH68" i="13"/>
  <c r="HG68" i="13"/>
  <c r="HC68" i="13"/>
  <c r="HA68" i="13"/>
  <c r="GY68" i="13"/>
  <c r="GU68" i="13"/>
  <c r="GO68" i="13"/>
  <c r="GN68" i="13"/>
  <c r="GM68" i="13"/>
  <c r="GI68" i="13"/>
  <c r="GG68" i="13"/>
  <c r="GA68" i="13"/>
  <c r="FU68" i="13"/>
  <c r="FT68" i="13"/>
  <c r="FS68" i="13"/>
  <c r="FO68" i="13"/>
  <c r="FM68" i="13"/>
  <c r="FK68" i="13"/>
  <c r="FG68" i="13"/>
  <c r="FA68" i="13"/>
  <c r="EZ68" i="13"/>
  <c r="EY68" i="13"/>
  <c r="EU68" i="13"/>
  <c r="ES68" i="13"/>
  <c r="EQ68" i="13"/>
  <c r="EM68" i="13"/>
  <c r="EG68" i="13"/>
  <c r="EF68" i="13"/>
  <c r="EE68" i="13"/>
  <c r="EA68" i="13"/>
  <c r="DY68" i="13"/>
  <c r="DW68" i="13"/>
  <c r="DS68" i="13"/>
  <c r="DM68" i="13"/>
  <c r="DL68" i="13"/>
  <c r="DK68" i="13"/>
  <c r="DG68" i="13"/>
  <c r="DE68" i="13"/>
  <c r="DC68" i="13"/>
  <c r="CY68" i="13"/>
  <c r="CS68" i="13"/>
  <c r="CR68" i="13"/>
  <c r="CQ68" i="13"/>
  <c r="CM68" i="13"/>
  <c r="CK68" i="13"/>
  <c r="CI68" i="13"/>
  <c r="CE68" i="13"/>
  <c r="BX68" i="13"/>
  <c r="BW68" i="13"/>
  <c r="BS68" i="13"/>
  <c r="BQ68" i="13"/>
  <c r="BO68" i="13"/>
  <c r="BM68" i="13"/>
  <c r="BY68" i="13" s="1"/>
  <c r="BK68" i="13"/>
  <c r="BD68" i="13"/>
  <c r="BC68" i="13"/>
  <c r="AY68" i="13"/>
  <c r="AW68" i="13"/>
  <c r="AU68" i="13"/>
  <c r="AS68" i="13"/>
  <c r="BE68" i="13" s="1"/>
  <c r="AQ68" i="13"/>
  <c r="AK68" i="13"/>
  <c r="AJ68" i="13"/>
  <c r="AI68" i="13"/>
  <c r="AE68" i="13"/>
  <c r="AC68" i="13"/>
  <c r="AA68" i="13"/>
  <c r="W68" i="13"/>
  <c r="Q68" i="13"/>
  <c r="P68" i="13"/>
  <c r="O68" i="13"/>
  <c r="K68" i="13"/>
  <c r="I68" i="13"/>
  <c r="G68" i="13"/>
  <c r="C68" i="13"/>
  <c r="IC67" i="13"/>
  <c r="IB67" i="13"/>
  <c r="IA67" i="13"/>
  <c r="HW67" i="13"/>
  <c r="HU67" i="13"/>
  <c r="HS67" i="13"/>
  <c r="HO67" i="13"/>
  <c r="HI67" i="13"/>
  <c r="HH67" i="13"/>
  <c r="HG67" i="13"/>
  <c r="HC67" i="13"/>
  <c r="HA67" i="13"/>
  <c r="GY67" i="13"/>
  <c r="GU67" i="13"/>
  <c r="GO67" i="13"/>
  <c r="GN67" i="13"/>
  <c r="GM67" i="13"/>
  <c r="GI67" i="13"/>
  <c r="GG67" i="13"/>
  <c r="GA67" i="13"/>
  <c r="FU67" i="13"/>
  <c r="FT67" i="13"/>
  <c r="FS67" i="13"/>
  <c r="FO67" i="13"/>
  <c r="FM67" i="13"/>
  <c r="FK67" i="13"/>
  <c r="FG67" i="13"/>
  <c r="FA67" i="13"/>
  <c r="EZ67" i="13"/>
  <c r="EY67" i="13"/>
  <c r="EU67" i="13"/>
  <c r="ES67" i="13"/>
  <c r="EQ67" i="13"/>
  <c r="EM67" i="13"/>
  <c r="EG67" i="13"/>
  <c r="EF67" i="13"/>
  <c r="EE67" i="13"/>
  <c r="EA67" i="13"/>
  <c r="DY67" i="13"/>
  <c r="DW67" i="13"/>
  <c r="DS67" i="13"/>
  <c r="DM67" i="13"/>
  <c r="DL67" i="13"/>
  <c r="DK67" i="13"/>
  <c r="DG67" i="13"/>
  <c r="DE67" i="13"/>
  <c r="DC67" i="13"/>
  <c r="CY67" i="13"/>
  <c r="CS67" i="13"/>
  <c r="CR67" i="13"/>
  <c r="CQ67" i="13"/>
  <c r="CM67" i="13"/>
  <c r="CK67" i="13"/>
  <c r="CI67" i="13"/>
  <c r="CE67" i="13"/>
  <c r="BX67" i="13"/>
  <c r="BW67" i="13"/>
  <c r="BS67" i="13"/>
  <c r="BQ67" i="13"/>
  <c r="BO67" i="13"/>
  <c r="BM67" i="13"/>
  <c r="BY67" i="13" s="1"/>
  <c r="BK67" i="13"/>
  <c r="BD67" i="13"/>
  <c r="BC67" i="13"/>
  <c r="AY67" i="13"/>
  <c r="AW67" i="13"/>
  <c r="AU67" i="13"/>
  <c r="AS67" i="13"/>
  <c r="BE67" i="13" s="1"/>
  <c r="AQ67" i="13"/>
  <c r="AK67" i="13"/>
  <c r="AJ67" i="13"/>
  <c r="AI67" i="13"/>
  <c r="AE67" i="13"/>
  <c r="AC67" i="13"/>
  <c r="AA67" i="13"/>
  <c r="W67" i="13"/>
  <c r="Q67" i="13"/>
  <c r="P67" i="13"/>
  <c r="O67" i="13"/>
  <c r="K67" i="13"/>
  <c r="I67" i="13"/>
  <c r="G67" i="13"/>
  <c r="C67" i="13"/>
  <c r="IC66" i="13"/>
  <c r="IB66" i="13"/>
  <c r="IA66" i="13"/>
  <c r="HW66" i="13"/>
  <c r="HU66" i="13"/>
  <c r="HS66" i="13"/>
  <c r="HO66" i="13"/>
  <c r="HI66" i="13"/>
  <c r="HH66" i="13"/>
  <c r="HG66" i="13"/>
  <c r="HC66" i="13"/>
  <c r="HA66" i="13"/>
  <c r="GY66" i="13"/>
  <c r="GU66" i="13"/>
  <c r="GO66" i="13"/>
  <c r="GN66" i="13"/>
  <c r="GM66" i="13"/>
  <c r="GI66" i="13"/>
  <c r="GG66" i="13"/>
  <c r="GA66" i="13"/>
  <c r="FU66" i="13"/>
  <c r="FT66" i="13"/>
  <c r="FS66" i="13"/>
  <c r="FO66" i="13"/>
  <c r="FM66" i="13"/>
  <c r="FK66" i="13"/>
  <c r="FG66" i="13"/>
  <c r="FA66" i="13"/>
  <c r="EZ66" i="13"/>
  <c r="EY66" i="13"/>
  <c r="EU66" i="13"/>
  <c r="ES66" i="13"/>
  <c r="EQ66" i="13"/>
  <c r="EM66" i="13"/>
  <c r="EG66" i="13"/>
  <c r="EF66" i="13"/>
  <c r="EE66" i="13"/>
  <c r="EA66" i="13"/>
  <c r="DY66" i="13"/>
  <c r="DW66" i="13"/>
  <c r="DS66" i="13"/>
  <c r="DM66" i="13"/>
  <c r="DL66" i="13"/>
  <c r="DK66" i="13"/>
  <c r="DG66" i="13"/>
  <c r="DE66" i="13"/>
  <c r="DC66" i="13"/>
  <c r="CY66" i="13"/>
  <c r="CS66" i="13"/>
  <c r="CR66" i="13"/>
  <c r="CQ66" i="13"/>
  <c r="CM66" i="13"/>
  <c r="CK66" i="13"/>
  <c r="CI66" i="13"/>
  <c r="CE66" i="13"/>
  <c r="BX66" i="13"/>
  <c r="BW66" i="13"/>
  <c r="BS66" i="13"/>
  <c r="BQ66" i="13"/>
  <c r="BO66" i="13"/>
  <c r="BM66" i="13"/>
  <c r="BY66" i="13" s="1"/>
  <c r="BK66" i="13"/>
  <c r="BD66" i="13"/>
  <c r="BC66" i="13"/>
  <c r="AY66" i="13"/>
  <c r="AW66" i="13"/>
  <c r="AU66" i="13"/>
  <c r="AS66" i="13"/>
  <c r="BE66" i="13" s="1"/>
  <c r="AQ66" i="13"/>
  <c r="AK66" i="13"/>
  <c r="AJ66" i="13"/>
  <c r="AI66" i="13"/>
  <c r="AE66" i="13"/>
  <c r="AC66" i="13"/>
  <c r="AA66" i="13"/>
  <c r="W66" i="13"/>
  <c r="Q66" i="13"/>
  <c r="P66" i="13"/>
  <c r="O66" i="13"/>
  <c r="K66" i="13"/>
  <c r="I66" i="13"/>
  <c r="G66" i="13"/>
  <c r="C66" i="13"/>
  <c r="IC65" i="13"/>
  <c r="IC79" i="13" s="1"/>
  <c r="IB65" i="13"/>
  <c r="IB79" i="13" s="1"/>
  <c r="IA65" i="13"/>
  <c r="IA79" i="13" s="1"/>
  <c r="HW65" i="13"/>
  <c r="HW79" i="13" s="1"/>
  <c r="HU65" i="13"/>
  <c r="HU79" i="13" s="1"/>
  <c r="HS65" i="13"/>
  <c r="HS79" i="13" s="1"/>
  <c r="HO65" i="13"/>
  <c r="HI65" i="13"/>
  <c r="HI79" i="13" s="1"/>
  <c r="HH65" i="13"/>
  <c r="HH79" i="13" s="1"/>
  <c r="HG65" i="13"/>
  <c r="HG79" i="13" s="1"/>
  <c r="HC65" i="13"/>
  <c r="HC79" i="13" s="1"/>
  <c r="HA65" i="13"/>
  <c r="HA79" i="13" s="1"/>
  <c r="GY65" i="13"/>
  <c r="GY79" i="13" s="1"/>
  <c r="GU65" i="13"/>
  <c r="GO65" i="13"/>
  <c r="GO79" i="13" s="1"/>
  <c r="GN65" i="13"/>
  <c r="GN79" i="13" s="1"/>
  <c r="GM65" i="13"/>
  <c r="GM79" i="13" s="1"/>
  <c r="GI65" i="13"/>
  <c r="GI79" i="13" s="1"/>
  <c r="GG65" i="13"/>
  <c r="GG79" i="13" s="1"/>
  <c r="GE79" i="13"/>
  <c r="GA65" i="13"/>
  <c r="FU65" i="13"/>
  <c r="FU79" i="13" s="1"/>
  <c r="FT65" i="13"/>
  <c r="FT79" i="13" s="1"/>
  <c r="FS65" i="13"/>
  <c r="FS79" i="13" s="1"/>
  <c r="FO65" i="13"/>
  <c r="FO79" i="13" s="1"/>
  <c r="FM65" i="13"/>
  <c r="FM79" i="13" s="1"/>
  <c r="FK65" i="13"/>
  <c r="FK79" i="13" s="1"/>
  <c r="FG65" i="13"/>
  <c r="FA65" i="13"/>
  <c r="FA79" i="13" s="1"/>
  <c r="EZ65" i="13"/>
  <c r="EZ79" i="13" s="1"/>
  <c r="EY65" i="13"/>
  <c r="EY79" i="13" s="1"/>
  <c r="EU65" i="13"/>
  <c r="EU79" i="13" s="1"/>
  <c r="ES65" i="13"/>
  <c r="ES79" i="13" s="1"/>
  <c r="EQ65" i="13"/>
  <c r="EQ79" i="13" s="1"/>
  <c r="EM65" i="13"/>
  <c r="EG65" i="13"/>
  <c r="EG79" i="13" s="1"/>
  <c r="EF65" i="13"/>
  <c r="EF79" i="13" s="1"/>
  <c r="EE65" i="13"/>
  <c r="EE79" i="13" s="1"/>
  <c r="EA65" i="13"/>
  <c r="EA79" i="13" s="1"/>
  <c r="DY65" i="13"/>
  <c r="DY79" i="13" s="1"/>
  <c r="DW65" i="13"/>
  <c r="DW79" i="13" s="1"/>
  <c r="DS65" i="13"/>
  <c r="DM65" i="13"/>
  <c r="DM79" i="13" s="1"/>
  <c r="DL65" i="13"/>
  <c r="DL79" i="13" s="1"/>
  <c r="DK65" i="13"/>
  <c r="DK79" i="13" s="1"/>
  <c r="DG65" i="13"/>
  <c r="DG79" i="13" s="1"/>
  <c r="DE65" i="13"/>
  <c r="DE79" i="13" s="1"/>
  <c r="DC65" i="13"/>
  <c r="DC79" i="13" s="1"/>
  <c r="CY65" i="13"/>
  <c r="CS65" i="13"/>
  <c r="CS79" i="13" s="1"/>
  <c r="CR65" i="13"/>
  <c r="CR79" i="13" s="1"/>
  <c r="CQ65" i="13"/>
  <c r="CQ79" i="13" s="1"/>
  <c r="CM65" i="13"/>
  <c r="CM79" i="13" s="1"/>
  <c r="CK65" i="13"/>
  <c r="CK79" i="13" s="1"/>
  <c r="CI65" i="13"/>
  <c r="CI79" i="13" s="1"/>
  <c r="CE65" i="13"/>
  <c r="BX65" i="13"/>
  <c r="BX79" i="13" s="1"/>
  <c r="BW65" i="13"/>
  <c r="BW79" i="13" s="1"/>
  <c r="BS65" i="13"/>
  <c r="BS79" i="13" s="1"/>
  <c r="BQ65" i="13"/>
  <c r="BQ79" i="13" s="1"/>
  <c r="BO65" i="13"/>
  <c r="BO79" i="13" s="1"/>
  <c r="BM65" i="13"/>
  <c r="BK65" i="13"/>
  <c r="BD65" i="13"/>
  <c r="BD79" i="13" s="1"/>
  <c r="BC65" i="13"/>
  <c r="BC79" i="13" s="1"/>
  <c r="AY65" i="13"/>
  <c r="AY79" i="13" s="1"/>
  <c r="AW65" i="13"/>
  <c r="AW79" i="13" s="1"/>
  <c r="AU65" i="13"/>
  <c r="AU79" i="13" s="1"/>
  <c r="AS65" i="13"/>
  <c r="AQ65" i="13"/>
  <c r="AK65" i="13"/>
  <c r="AK79" i="13" s="1"/>
  <c r="AJ65" i="13"/>
  <c r="AJ79" i="13" s="1"/>
  <c r="AI65" i="13"/>
  <c r="AI79" i="13" s="1"/>
  <c r="AE65" i="13"/>
  <c r="AE79" i="13" s="1"/>
  <c r="AC65" i="13"/>
  <c r="AC79" i="13" s="1"/>
  <c r="AA65" i="13"/>
  <c r="AA79" i="13" s="1"/>
  <c r="W65" i="13"/>
  <c r="Q65" i="13"/>
  <c r="Q79" i="13" s="1"/>
  <c r="P65" i="13"/>
  <c r="P79" i="13" s="1"/>
  <c r="O65" i="13"/>
  <c r="O79" i="13" s="1"/>
  <c r="K65" i="13"/>
  <c r="K79" i="13" s="1"/>
  <c r="I65" i="13"/>
  <c r="I79" i="13" s="1"/>
  <c r="G65" i="13"/>
  <c r="G79" i="13" s="1"/>
  <c r="C65" i="13"/>
  <c r="IE64" i="13"/>
  <c r="ID64" i="13"/>
  <c r="HX64" i="13"/>
  <c r="HT64" i="13"/>
  <c r="HK64" i="13"/>
  <c r="HJ64" i="13"/>
  <c r="HD64" i="13"/>
  <c r="HB64" i="13"/>
  <c r="GZ64" i="13"/>
  <c r="GQ64" i="13"/>
  <c r="GP64" i="13"/>
  <c r="GJ64" i="13"/>
  <c r="GH64" i="13"/>
  <c r="GF64" i="13"/>
  <c r="FW64" i="13"/>
  <c r="FV64" i="13"/>
  <c r="FP64" i="13"/>
  <c r="FN64" i="13"/>
  <c r="FL64" i="13"/>
  <c r="FC64" i="13"/>
  <c r="FB64" i="13"/>
  <c r="EV64" i="13"/>
  <c r="ET64" i="13"/>
  <c r="ER64" i="13"/>
  <c r="EI64" i="13"/>
  <c r="EH64" i="13"/>
  <c r="EB64" i="13"/>
  <c r="DZ64" i="13"/>
  <c r="DX64" i="13"/>
  <c r="DO64" i="13"/>
  <c r="DN64" i="13"/>
  <c r="DH64" i="13"/>
  <c r="DF64" i="13"/>
  <c r="CU64" i="13"/>
  <c r="CT64" i="13"/>
  <c r="CN64" i="13"/>
  <c r="CL64" i="13"/>
  <c r="CA64" i="13"/>
  <c r="BZ64" i="13"/>
  <c r="BT64" i="13"/>
  <c r="BR64" i="13"/>
  <c r="BP64" i="13"/>
  <c r="BN64" i="13"/>
  <c r="BG64" i="13"/>
  <c r="BF64" i="13"/>
  <c r="AZ64" i="13"/>
  <c r="AV64" i="13"/>
  <c r="AM64" i="13"/>
  <c r="AL64" i="13"/>
  <c r="AF64" i="13"/>
  <c r="S64" i="13"/>
  <c r="R64" i="13"/>
  <c r="L64" i="13"/>
  <c r="H64" i="13"/>
  <c r="IB63" i="13"/>
  <c r="HW63" i="13"/>
  <c r="HU63" i="13"/>
  <c r="HR63" i="13"/>
  <c r="HS63" i="13" s="1"/>
  <c r="HQ63" i="13"/>
  <c r="HP63" i="13"/>
  <c r="HO63" i="13"/>
  <c r="HH63" i="13"/>
  <c r="HC63" i="13"/>
  <c r="HA63" i="13"/>
  <c r="GX63" i="13"/>
  <c r="GY63" i="13" s="1"/>
  <c r="GW63" i="13"/>
  <c r="GV63" i="13"/>
  <c r="GU63" i="13"/>
  <c r="GN63" i="13"/>
  <c r="GI63" i="13"/>
  <c r="GG63" i="13"/>
  <c r="GD63" i="13"/>
  <c r="GE63" i="13" s="1"/>
  <c r="GC63" i="13"/>
  <c r="GB63" i="13"/>
  <c r="GA63" i="13"/>
  <c r="FT63" i="13"/>
  <c r="FO63" i="13"/>
  <c r="FM63" i="13"/>
  <c r="FJ63" i="13"/>
  <c r="FK63" i="13" s="1"/>
  <c r="FI63" i="13"/>
  <c r="FH63" i="13"/>
  <c r="FG63" i="13"/>
  <c r="EZ63" i="13"/>
  <c r="EU63" i="13"/>
  <c r="ES63" i="13"/>
  <c r="EP63" i="13"/>
  <c r="EQ63" i="13" s="1"/>
  <c r="EO63" i="13"/>
  <c r="EN63" i="13"/>
  <c r="EM63" i="13"/>
  <c r="EF63" i="13"/>
  <c r="EA63" i="13"/>
  <c r="DY63" i="13"/>
  <c r="DV63" i="13"/>
  <c r="DW63" i="13" s="1"/>
  <c r="DU63" i="13"/>
  <c r="DT63" i="13"/>
  <c r="DS63" i="13"/>
  <c r="DL63" i="13"/>
  <c r="DG63" i="13"/>
  <c r="DE63" i="13"/>
  <c r="DB63" i="13"/>
  <c r="DC63" i="13" s="1"/>
  <c r="DA63" i="13"/>
  <c r="CZ63" i="13"/>
  <c r="CY63" i="13"/>
  <c r="CR63" i="13"/>
  <c r="CM63" i="13"/>
  <c r="CK63" i="13"/>
  <c r="CH63" i="13"/>
  <c r="CI63" i="13" s="1"/>
  <c r="CG63" i="13"/>
  <c r="CF63" i="13"/>
  <c r="CE63" i="13"/>
  <c r="BX63" i="13"/>
  <c r="BS63" i="13"/>
  <c r="BQ63" i="13"/>
  <c r="BO63" i="13"/>
  <c r="BM63" i="13"/>
  <c r="BL63" i="13"/>
  <c r="BK63" i="13"/>
  <c r="BD63" i="13"/>
  <c r="AY63" i="13"/>
  <c r="AW63" i="13"/>
  <c r="AT63" i="13"/>
  <c r="AU63" i="13" s="1"/>
  <c r="AS63" i="13"/>
  <c r="AR63" i="13"/>
  <c r="AQ63" i="13"/>
  <c r="AJ63" i="13"/>
  <c r="AD63" i="13"/>
  <c r="AE63" i="13" s="1"/>
  <c r="AC63" i="13"/>
  <c r="Z63" i="13"/>
  <c r="AA63" i="13" s="1"/>
  <c r="Y63" i="13"/>
  <c r="X63" i="13"/>
  <c r="W63" i="13"/>
  <c r="P63" i="13"/>
  <c r="J63" i="13"/>
  <c r="K63" i="13" s="1"/>
  <c r="I63" i="13"/>
  <c r="F63" i="13"/>
  <c r="G63" i="13" s="1"/>
  <c r="E63" i="13"/>
  <c r="D63" i="13"/>
  <c r="C63" i="13"/>
  <c r="IB62" i="13"/>
  <c r="HW62" i="13"/>
  <c r="HU62" i="13"/>
  <c r="HR62" i="13"/>
  <c r="HS62" i="13" s="1"/>
  <c r="HQ62" i="13"/>
  <c r="HP62" i="13"/>
  <c r="HO62" i="13"/>
  <c r="HH62" i="13"/>
  <c r="HC62" i="13"/>
  <c r="HA62" i="13"/>
  <c r="GX62" i="13"/>
  <c r="GY62" i="13" s="1"/>
  <c r="GW62" i="13"/>
  <c r="GV62" i="13"/>
  <c r="GU62" i="13"/>
  <c r="GN62" i="13"/>
  <c r="GI62" i="13"/>
  <c r="GG62" i="13"/>
  <c r="GD62" i="13"/>
  <c r="GE62" i="13" s="1"/>
  <c r="GC62" i="13"/>
  <c r="GB62" i="13"/>
  <c r="GA62" i="13"/>
  <c r="FT62" i="13"/>
  <c r="FO62" i="13"/>
  <c r="FM62" i="13"/>
  <c r="FJ62" i="13"/>
  <c r="FK62" i="13" s="1"/>
  <c r="FI62" i="13"/>
  <c r="FH62" i="13"/>
  <c r="FG62" i="13"/>
  <c r="EZ62" i="13"/>
  <c r="EU62" i="13"/>
  <c r="ES62" i="13"/>
  <c r="EP62" i="13"/>
  <c r="EQ62" i="13" s="1"/>
  <c r="EO62" i="13"/>
  <c r="EN62" i="13"/>
  <c r="EM62" i="13"/>
  <c r="EF62" i="13"/>
  <c r="EA62" i="13"/>
  <c r="DY62" i="13"/>
  <c r="DV62" i="13"/>
  <c r="DU62" i="13"/>
  <c r="DT62" i="13"/>
  <c r="DS62" i="13"/>
  <c r="DL62" i="13"/>
  <c r="DG62" i="13"/>
  <c r="DE62" i="13"/>
  <c r="DB62" i="13"/>
  <c r="DC62" i="13" s="1"/>
  <c r="DA62" i="13"/>
  <c r="CZ62" i="13"/>
  <c r="CY62" i="13"/>
  <c r="CR62" i="13"/>
  <c r="CM62" i="13"/>
  <c r="CJ62" i="13"/>
  <c r="CK62" i="13" s="1"/>
  <c r="CH62" i="13"/>
  <c r="CG62" i="13"/>
  <c r="CF62" i="13"/>
  <c r="CE62" i="13"/>
  <c r="BX62" i="13"/>
  <c r="BS62" i="13"/>
  <c r="BQ62" i="13"/>
  <c r="BO62" i="13"/>
  <c r="BM62" i="13"/>
  <c r="BL62" i="13"/>
  <c r="BK62" i="13"/>
  <c r="BD62" i="13"/>
  <c r="AX62" i="13"/>
  <c r="AW62" i="13"/>
  <c r="AT62" i="13"/>
  <c r="AU62" i="13" s="1"/>
  <c r="AS62" i="13"/>
  <c r="AR62" i="13"/>
  <c r="AQ62" i="13"/>
  <c r="AJ62" i="13"/>
  <c r="AD62" i="13"/>
  <c r="AC62" i="13"/>
  <c r="Z62" i="13"/>
  <c r="AA62" i="13" s="1"/>
  <c r="Y62" i="13"/>
  <c r="X62" i="13"/>
  <c r="W62" i="13"/>
  <c r="P62" i="13"/>
  <c r="K62" i="13"/>
  <c r="I62" i="13"/>
  <c r="F62" i="13"/>
  <c r="E62" i="13"/>
  <c r="D62" i="13"/>
  <c r="C62" i="13"/>
  <c r="IB61" i="13"/>
  <c r="HV61" i="13"/>
  <c r="HU61" i="13"/>
  <c r="HS61" i="13"/>
  <c r="HQ61" i="13"/>
  <c r="HQ64" i="13" s="1"/>
  <c r="HP61" i="13"/>
  <c r="HO61" i="13"/>
  <c r="HH61" i="13"/>
  <c r="HC61" i="13"/>
  <c r="HA61" i="13"/>
  <c r="GY61" i="13"/>
  <c r="GW61" i="13"/>
  <c r="GW64" i="13" s="1"/>
  <c r="GV61" i="13"/>
  <c r="GU61" i="13"/>
  <c r="GN61" i="13"/>
  <c r="GI61" i="13"/>
  <c r="GG61" i="13"/>
  <c r="GC61" i="13"/>
  <c r="GC64" i="13" s="1"/>
  <c r="GB61" i="13"/>
  <c r="GA61" i="13"/>
  <c r="FT61" i="13"/>
  <c r="FO61" i="13"/>
  <c r="FM61" i="13"/>
  <c r="FK61" i="13"/>
  <c r="FI61" i="13"/>
  <c r="FI64" i="13" s="1"/>
  <c r="FH61" i="13"/>
  <c r="FG61" i="13"/>
  <c r="EZ61" i="13"/>
  <c r="EU61" i="13"/>
  <c r="ES61" i="13"/>
  <c r="EQ61" i="13"/>
  <c r="EO61" i="13"/>
  <c r="EN61" i="13"/>
  <c r="EM61" i="13"/>
  <c r="EF61" i="13"/>
  <c r="EA61" i="13"/>
  <c r="DY61" i="13"/>
  <c r="DW61" i="13"/>
  <c r="DU61" i="13"/>
  <c r="DT61" i="13"/>
  <c r="DS61" i="13"/>
  <c r="DL61" i="13"/>
  <c r="DG61" i="13"/>
  <c r="DD61" i="13"/>
  <c r="DB61" i="13"/>
  <c r="DA61" i="13"/>
  <c r="CZ61" i="13"/>
  <c r="CY61" i="13"/>
  <c r="CR61" i="13"/>
  <c r="CM61" i="13"/>
  <c r="CJ61" i="13"/>
  <c r="CI61" i="13"/>
  <c r="CG61" i="13"/>
  <c r="CF61" i="13"/>
  <c r="CE61" i="13"/>
  <c r="BX61" i="13"/>
  <c r="BS61" i="13"/>
  <c r="BQ61" i="13"/>
  <c r="BO61" i="13"/>
  <c r="BM61" i="13"/>
  <c r="BL61" i="13"/>
  <c r="BK61" i="13"/>
  <c r="BD61" i="13"/>
  <c r="AY61" i="13"/>
  <c r="AW61" i="13"/>
  <c r="AT61" i="13"/>
  <c r="AS61" i="13"/>
  <c r="AR61" i="13"/>
  <c r="AQ61" i="13"/>
  <c r="AJ61" i="13"/>
  <c r="AE61" i="13"/>
  <c r="AB61" i="13"/>
  <c r="AC61" i="13" s="1"/>
  <c r="Z61" i="13"/>
  <c r="Y61" i="13"/>
  <c r="X61" i="13"/>
  <c r="W61" i="13"/>
  <c r="P61" i="13"/>
  <c r="J61" i="13"/>
  <c r="K61" i="13" s="1"/>
  <c r="I61" i="13"/>
  <c r="G61" i="13"/>
  <c r="E61" i="13"/>
  <c r="D61" i="13"/>
  <c r="C61" i="13"/>
  <c r="IB60" i="13"/>
  <c r="IB64" i="13" s="1"/>
  <c r="HZ60" i="13"/>
  <c r="HY60" i="13"/>
  <c r="HW60" i="13"/>
  <c r="HU60" i="13"/>
  <c r="HU64" i="13" s="1"/>
  <c r="HR60" i="13"/>
  <c r="HH60" i="13"/>
  <c r="HH64" i="13" s="1"/>
  <c r="HF60" i="13"/>
  <c r="HE60" i="13"/>
  <c r="HC60" i="13"/>
  <c r="HC64" i="13" s="1"/>
  <c r="HA60" i="13"/>
  <c r="HA64" i="13" s="1"/>
  <c r="GX60" i="13"/>
  <c r="GN60" i="13"/>
  <c r="GN64" i="13" s="1"/>
  <c r="GL60" i="13"/>
  <c r="GK60" i="13"/>
  <c r="GI60" i="13"/>
  <c r="GI64" i="13" s="1"/>
  <c r="GG60" i="13"/>
  <c r="GG64" i="13" s="1"/>
  <c r="GD60" i="13"/>
  <c r="GE60" i="13" s="1"/>
  <c r="FT60" i="13"/>
  <c r="FT64" i="13" s="1"/>
  <c r="FR60" i="13"/>
  <c r="FQ60" i="13"/>
  <c r="FO60" i="13"/>
  <c r="FO64" i="13" s="1"/>
  <c r="FM60" i="13"/>
  <c r="FM64" i="13" s="1"/>
  <c r="FJ60" i="13"/>
  <c r="EZ60" i="13"/>
  <c r="EZ64" i="13" s="1"/>
  <c r="EU60" i="13"/>
  <c r="EU64" i="13" s="1"/>
  <c r="ES60" i="13"/>
  <c r="ES64" i="13" s="1"/>
  <c r="EP60" i="13"/>
  <c r="EO60" i="13"/>
  <c r="EO64" i="13" s="1"/>
  <c r="EN60" i="13"/>
  <c r="EM60" i="13"/>
  <c r="EF60" i="13"/>
  <c r="EF64" i="13" s="1"/>
  <c r="EA60" i="13"/>
  <c r="EA64" i="13" s="1"/>
  <c r="DY60" i="13"/>
  <c r="DY64" i="13" s="1"/>
  <c r="DW60" i="13"/>
  <c r="DU60" i="13"/>
  <c r="DU64" i="13" s="1"/>
  <c r="DT60" i="13"/>
  <c r="DS60" i="13"/>
  <c r="DL60" i="13"/>
  <c r="DL64" i="13" s="1"/>
  <c r="DG60" i="13"/>
  <c r="DG64" i="13" s="1"/>
  <c r="DE60" i="13"/>
  <c r="DC60" i="13"/>
  <c r="DA60" i="13"/>
  <c r="DA64" i="13" s="1"/>
  <c r="CZ60" i="13"/>
  <c r="CY60" i="13"/>
  <c r="CR60" i="13"/>
  <c r="CR64" i="13" s="1"/>
  <c r="CM60" i="13"/>
  <c r="CM64" i="13" s="1"/>
  <c r="CK60" i="13"/>
  <c r="CI60" i="13"/>
  <c r="CG60" i="13"/>
  <c r="CG64" i="13" s="1"/>
  <c r="CF60" i="13"/>
  <c r="CE60" i="13"/>
  <c r="BX60" i="13"/>
  <c r="BX64" i="13" s="1"/>
  <c r="BS60" i="13"/>
  <c r="BS64" i="13" s="1"/>
  <c r="BQ60" i="13"/>
  <c r="BQ64" i="13" s="1"/>
  <c r="BO60" i="13"/>
  <c r="BO64" i="13" s="1"/>
  <c r="BM60" i="13"/>
  <c r="BM64" i="13" s="1"/>
  <c r="BL60" i="13"/>
  <c r="BK60" i="13"/>
  <c r="BD60" i="13"/>
  <c r="BD64" i="13" s="1"/>
  <c r="AY60" i="13"/>
  <c r="AW60" i="13"/>
  <c r="AW64" i="13" s="1"/>
  <c r="AU60" i="13"/>
  <c r="AS60" i="13"/>
  <c r="AS64" i="13" s="1"/>
  <c r="AR60" i="13"/>
  <c r="AQ60" i="13"/>
  <c r="AJ60" i="13"/>
  <c r="AJ64" i="13" s="1"/>
  <c r="AE60" i="13"/>
  <c r="AB60" i="13"/>
  <c r="AA60" i="13"/>
  <c r="Y60" i="13"/>
  <c r="Y64" i="13" s="1"/>
  <c r="X60" i="13"/>
  <c r="W60" i="13"/>
  <c r="P60" i="13"/>
  <c r="P64" i="13" s="1"/>
  <c r="J60" i="13"/>
  <c r="I60" i="13"/>
  <c r="I64" i="13" s="1"/>
  <c r="G60" i="13"/>
  <c r="E60" i="13"/>
  <c r="E64" i="13" s="1"/>
  <c r="D60" i="13"/>
  <c r="C60" i="13"/>
  <c r="IE59" i="13"/>
  <c r="ID59" i="13"/>
  <c r="HX59" i="13"/>
  <c r="HV59" i="13"/>
  <c r="HT59" i="13"/>
  <c r="HR59" i="13"/>
  <c r="HQ59" i="13"/>
  <c r="HP59" i="13"/>
  <c r="HO59" i="13"/>
  <c r="HK59" i="13"/>
  <c r="HJ59" i="13"/>
  <c r="HD59" i="13"/>
  <c r="HB59" i="13"/>
  <c r="GZ59" i="13"/>
  <c r="GX59" i="13"/>
  <c r="GW59" i="13"/>
  <c r="GV59" i="13"/>
  <c r="GU59" i="13"/>
  <c r="GQ59" i="13"/>
  <c r="GP59" i="13"/>
  <c r="GJ59" i="13"/>
  <c r="GH59" i="13"/>
  <c r="GF59" i="13"/>
  <c r="GD59" i="13"/>
  <c r="GC59" i="13"/>
  <c r="GB59" i="13"/>
  <c r="GA59" i="13"/>
  <c r="FW59" i="13"/>
  <c r="FV59" i="13"/>
  <c r="FP59" i="13"/>
  <c r="FN59" i="13"/>
  <c r="FL59" i="13"/>
  <c r="FJ59" i="13"/>
  <c r="FI59" i="13"/>
  <c r="FH59" i="13"/>
  <c r="FG59" i="13"/>
  <c r="FC59" i="13"/>
  <c r="FB59" i="13"/>
  <c r="EV59" i="13"/>
  <c r="ET59" i="13"/>
  <c r="ER59" i="13"/>
  <c r="EP59" i="13"/>
  <c r="EO59" i="13"/>
  <c r="EN59" i="13"/>
  <c r="EM59" i="13"/>
  <c r="EI59" i="13"/>
  <c r="EH59" i="13"/>
  <c r="EB59" i="13"/>
  <c r="DZ59" i="13"/>
  <c r="DX59" i="13"/>
  <c r="DV59" i="13"/>
  <c r="DU59" i="13"/>
  <c r="DT59" i="13"/>
  <c r="DS59" i="13"/>
  <c r="DO59" i="13"/>
  <c r="DN59" i="13"/>
  <c r="DH59" i="13"/>
  <c r="DF59" i="13"/>
  <c r="DD59" i="13"/>
  <c r="DB59" i="13"/>
  <c r="DA59" i="13"/>
  <c r="CZ59" i="13"/>
  <c r="CY59" i="13"/>
  <c r="CU59" i="13"/>
  <c r="CT59" i="13"/>
  <c r="CN59" i="13"/>
  <c r="CL59" i="13"/>
  <c r="CJ59" i="13"/>
  <c r="CH59" i="13"/>
  <c r="CG59" i="13"/>
  <c r="CF59" i="13"/>
  <c r="CE59" i="13"/>
  <c r="CA59" i="13"/>
  <c r="BZ59" i="13"/>
  <c r="BT59" i="13"/>
  <c r="BR59" i="13"/>
  <c r="BP59" i="13"/>
  <c r="BN59" i="13"/>
  <c r="BM59" i="13"/>
  <c r="BL59" i="13"/>
  <c r="BK59" i="13"/>
  <c r="BG59" i="13"/>
  <c r="BF59" i="13"/>
  <c r="AZ59" i="13"/>
  <c r="AX59" i="13"/>
  <c r="AV59" i="13"/>
  <c r="AT59" i="13"/>
  <c r="AS59" i="13"/>
  <c r="AR59" i="13"/>
  <c r="AQ59" i="13"/>
  <c r="AM59" i="13"/>
  <c r="AL59" i="13"/>
  <c r="AF59" i="13"/>
  <c r="AD59" i="13"/>
  <c r="AB59" i="13"/>
  <c r="Z59" i="13"/>
  <c r="Y59" i="13"/>
  <c r="X59" i="13"/>
  <c r="W59" i="13"/>
  <c r="S59" i="13"/>
  <c r="R59" i="13"/>
  <c r="L59" i="13"/>
  <c r="J59" i="13"/>
  <c r="H59" i="13"/>
  <c r="F59" i="13"/>
  <c r="E59" i="13"/>
  <c r="D59" i="13"/>
  <c r="C59" i="13"/>
  <c r="IC58" i="13"/>
  <c r="IB58" i="13"/>
  <c r="IA58" i="13"/>
  <c r="HZ58" i="13"/>
  <c r="HY58" i="13"/>
  <c r="HW58" i="13"/>
  <c r="HU58" i="13"/>
  <c r="HS58" i="13"/>
  <c r="HI58" i="13"/>
  <c r="HI59" i="13" s="1"/>
  <c r="HH58" i="13"/>
  <c r="HG58" i="13"/>
  <c r="HF58" i="13"/>
  <c r="HE58" i="13"/>
  <c r="HC58" i="13"/>
  <c r="HA58" i="13"/>
  <c r="GY58" i="13"/>
  <c r="GO58" i="13"/>
  <c r="GN58" i="13"/>
  <c r="GM58" i="13"/>
  <c r="GL58" i="13"/>
  <c r="GK58" i="13"/>
  <c r="GI58" i="13"/>
  <c r="GG58" i="13"/>
  <c r="FU58" i="13"/>
  <c r="FT58" i="13"/>
  <c r="FS58" i="13"/>
  <c r="FR58" i="13"/>
  <c r="FQ58" i="13"/>
  <c r="FO58" i="13"/>
  <c r="FM58" i="13"/>
  <c r="FK58" i="13"/>
  <c r="FA58" i="13"/>
  <c r="EZ58" i="13"/>
  <c r="EY58" i="13"/>
  <c r="EX58" i="13"/>
  <c r="EW58" i="13"/>
  <c r="EU58" i="13"/>
  <c r="ES58" i="13"/>
  <c r="EQ58" i="13"/>
  <c r="EG58" i="13"/>
  <c r="EF58" i="13"/>
  <c r="EE58" i="13"/>
  <c r="ED58" i="13"/>
  <c r="EC58" i="13"/>
  <c r="EA58" i="13"/>
  <c r="DY58" i="13"/>
  <c r="DW58" i="13"/>
  <c r="DM58" i="13"/>
  <c r="DL58" i="13"/>
  <c r="DK58" i="13"/>
  <c r="DJ58" i="13"/>
  <c r="DI58" i="13"/>
  <c r="DG58" i="13"/>
  <c r="DE58" i="13"/>
  <c r="DC58" i="13"/>
  <c r="CS58" i="13"/>
  <c r="CR58" i="13"/>
  <c r="CQ58" i="13"/>
  <c r="CP58" i="13"/>
  <c r="CO58" i="13"/>
  <c r="CM58" i="13"/>
  <c r="CK58" i="13"/>
  <c r="CI58" i="13"/>
  <c r="BY58" i="13"/>
  <c r="BX58" i="13"/>
  <c r="BW58" i="13"/>
  <c r="BV58" i="13"/>
  <c r="BU58" i="13"/>
  <c r="BS58" i="13"/>
  <c r="BQ58" i="13"/>
  <c r="BO58" i="13"/>
  <c r="BE58" i="13"/>
  <c r="BD58" i="13"/>
  <c r="BC58" i="13"/>
  <c r="BB58" i="13"/>
  <c r="BA58" i="13"/>
  <c r="AY58" i="13"/>
  <c r="AW58" i="13"/>
  <c r="AU58" i="13"/>
  <c r="AK58" i="13"/>
  <c r="AJ58" i="13"/>
  <c r="AI58" i="13"/>
  <c r="AH58" i="13"/>
  <c r="AG58" i="13"/>
  <c r="AE58" i="13"/>
  <c r="AC58" i="13"/>
  <c r="AA58" i="13"/>
  <c r="Q58" i="13"/>
  <c r="P58" i="13"/>
  <c r="O58" i="13"/>
  <c r="N58" i="13"/>
  <c r="M58" i="13"/>
  <c r="K58" i="13"/>
  <c r="I58" i="13"/>
  <c r="G58" i="13"/>
  <c r="IC57" i="13"/>
  <c r="IC59" i="13" s="1"/>
  <c r="IB57" i="13"/>
  <c r="IB59" i="13" s="1"/>
  <c r="IA57" i="13"/>
  <c r="IA59" i="13" s="1"/>
  <c r="HZ57" i="13"/>
  <c r="HZ59" i="13" s="1"/>
  <c r="HY57" i="13"/>
  <c r="HY59" i="13" s="1"/>
  <c r="HW57" i="13"/>
  <c r="HW59" i="13" s="1"/>
  <c r="HU57" i="13"/>
  <c r="HU59" i="13" s="1"/>
  <c r="HS57" i="13"/>
  <c r="HS59" i="13" s="1"/>
  <c r="HH57" i="13"/>
  <c r="HH59" i="13" s="1"/>
  <c r="HG57" i="13"/>
  <c r="HG59" i="13" s="1"/>
  <c r="HF57" i="13"/>
  <c r="HF59" i="13" s="1"/>
  <c r="HE57" i="13"/>
  <c r="HE59" i="13" s="1"/>
  <c r="HC57" i="13"/>
  <c r="HC59" i="13" s="1"/>
  <c r="HA57" i="13"/>
  <c r="HA59" i="13" s="1"/>
  <c r="GY57" i="13"/>
  <c r="GY59" i="13" s="1"/>
  <c r="GO57" i="13"/>
  <c r="GO59" i="13" s="1"/>
  <c r="GN57" i="13"/>
  <c r="GN59" i="13" s="1"/>
  <c r="GM57" i="13"/>
  <c r="GM59" i="13" s="1"/>
  <c r="GL57" i="13"/>
  <c r="GL59" i="13" s="1"/>
  <c r="GK57" i="13"/>
  <c r="GK59" i="13" s="1"/>
  <c r="GI57" i="13"/>
  <c r="GI59" i="13" s="1"/>
  <c r="GG57" i="13"/>
  <c r="GG59" i="13" s="1"/>
  <c r="GE59" i="13"/>
  <c r="FU57" i="13"/>
  <c r="FU59" i="13" s="1"/>
  <c r="FT57" i="13"/>
  <c r="FT59" i="13" s="1"/>
  <c r="FS57" i="13"/>
  <c r="FS59" i="13" s="1"/>
  <c r="FR57" i="13"/>
  <c r="FR59" i="13" s="1"/>
  <c r="FQ57" i="13"/>
  <c r="FQ59" i="13" s="1"/>
  <c r="FO57" i="13"/>
  <c r="FO59" i="13" s="1"/>
  <c r="FM57" i="13"/>
  <c r="FM59" i="13" s="1"/>
  <c r="FK57" i="13"/>
  <c r="FK59" i="13" s="1"/>
  <c r="FA57" i="13"/>
  <c r="FA59" i="13" s="1"/>
  <c r="EZ57" i="13"/>
  <c r="EZ59" i="13" s="1"/>
  <c r="EY57" i="13"/>
  <c r="EY59" i="13" s="1"/>
  <c r="EX57" i="13"/>
  <c r="EX59" i="13" s="1"/>
  <c r="EW57" i="13"/>
  <c r="EW59" i="13" s="1"/>
  <c r="EU57" i="13"/>
  <c r="EU59" i="13" s="1"/>
  <c r="ES57" i="13"/>
  <c r="ES59" i="13" s="1"/>
  <c r="EQ57" i="13"/>
  <c r="EQ59" i="13" s="1"/>
  <c r="EG57" i="13"/>
  <c r="EG59" i="13" s="1"/>
  <c r="EF57" i="13"/>
  <c r="EF59" i="13" s="1"/>
  <c r="EE57" i="13"/>
  <c r="EE59" i="13" s="1"/>
  <c r="ED57" i="13"/>
  <c r="ED59" i="13" s="1"/>
  <c r="EC57" i="13"/>
  <c r="EC59" i="13" s="1"/>
  <c r="EA57" i="13"/>
  <c r="EA59" i="13" s="1"/>
  <c r="DY57" i="13"/>
  <c r="DY59" i="13" s="1"/>
  <c r="DW57" i="13"/>
  <c r="DW59" i="13" s="1"/>
  <c r="DM57" i="13"/>
  <c r="DM59" i="13" s="1"/>
  <c r="DL57" i="13"/>
  <c r="DL59" i="13" s="1"/>
  <c r="DK57" i="13"/>
  <c r="DK59" i="13" s="1"/>
  <c r="DJ57" i="13"/>
  <c r="DJ59" i="13" s="1"/>
  <c r="DI57" i="13"/>
  <c r="DI59" i="13" s="1"/>
  <c r="DG57" i="13"/>
  <c r="DG59" i="13" s="1"/>
  <c r="DE57" i="13"/>
  <c r="DE59" i="13" s="1"/>
  <c r="DC57" i="13"/>
  <c r="DC59" i="13" s="1"/>
  <c r="CS57" i="13"/>
  <c r="CS59" i="13" s="1"/>
  <c r="CR57" i="13"/>
  <c r="CR59" i="13" s="1"/>
  <c r="CQ57" i="13"/>
  <c r="CQ59" i="13" s="1"/>
  <c r="CP57" i="13"/>
  <c r="CP59" i="13" s="1"/>
  <c r="CO57" i="13"/>
  <c r="CO59" i="13" s="1"/>
  <c r="CM57" i="13"/>
  <c r="CM59" i="13" s="1"/>
  <c r="CK57" i="13"/>
  <c r="CK59" i="13" s="1"/>
  <c r="CI57" i="13"/>
  <c r="CI59" i="13" s="1"/>
  <c r="BY57" i="13"/>
  <c r="BY59" i="13" s="1"/>
  <c r="BX57" i="13"/>
  <c r="BX59" i="13" s="1"/>
  <c r="BW57" i="13"/>
  <c r="BW59" i="13" s="1"/>
  <c r="BV57" i="13"/>
  <c r="BV59" i="13" s="1"/>
  <c r="BU57" i="13"/>
  <c r="BU59" i="13" s="1"/>
  <c r="BS57" i="13"/>
  <c r="BS59" i="13" s="1"/>
  <c r="BQ57" i="13"/>
  <c r="BQ59" i="13" s="1"/>
  <c r="BO57" i="13"/>
  <c r="BO59" i="13" s="1"/>
  <c r="BE57" i="13"/>
  <c r="BE59" i="13" s="1"/>
  <c r="BD57" i="13"/>
  <c r="BD59" i="13" s="1"/>
  <c r="BC57" i="13"/>
  <c r="BC59" i="13" s="1"/>
  <c r="BB57" i="13"/>
  <c r="BB59" i="13" s="1"/>
  <c r="BA57" i="13"/>
  <c r="BA59" i="13" s="1"/>
  <c r="AY57" i="13"/>
  <c r="AY59" i="13" s="1"/>
  <c r="AW57" i="13"/>
  <c r="AW59" i="13" s="1"/>
  <c r="AU57" i="13"/>
  <c r="AU59" i="13" s="1"/>
  <c r="AK57" i="13"/>
  <c r="AK59" i="13" s="1"/>
  <c r="AJ57" i="13"/>
  <c r="AJ59" i="13" s="1"/>
  <c r="AI57" i="13"/>
  <c r="AI59" i="13" s="1"/>
  <c r="AH57" i="13"/>
  <c r="AH59" i="13" s="1"/>
  <c r="AG57" i="13"/>
  <c r="AG59" i="13" s="1"/>
  <c r="AE57" i="13"/>
  <c r="AE59" i="13" s="1"/>
  <c r="AC57" i="13"/>
  <c r="AC59" i="13" s="1"/>
  <c r="AA57" i="13"/>
  <c r="AA59" i="13" s="1"/>
  <c r="Q57" i="13"/>
  <c r="Q59" i="13" s="1"/>
  <c r="P57" i="13"/>
  <c r="P59" i="13" s="1"/>
  <c r="O57" i="13"/>
  <c r="O59" i="13" s="1"/>
  <c r="N57" i="13"/>
  <c r="N59" i="13" s="1"/>
  <c r="M57" i="13"/>
  <c r="M59" i="13" s="1"/>
  <c r="K57" i="13"/>
  <c r="K59" i="13" s="1"/>
  <c r="I57" i="13"/>
  <c r="I59" i="13" s="1"/>
  <c r="G57" i="13"/>
  <c r="G59" i="13" s="1"/>
  <c r="IE56" i="13"/>
  <c r="ID56" i="13"/>
  <c r="HX56" i="13"/>
  <c r="HV56" i="13"/>
  <c r="HT56" i="13"/>
  <c r="HR56" i="13"/>
  <c r="HQ56" i="13"/>
  <c r="HP56" i="13"/>
  <c r="HO56" i="13"/>
  <c r="HK56" i="13"/>
  <c r="HJ56" i="13"/>
  <c r="HD56" i="13"/>
  <c r="HB56" i="13"/>
  <c r="GZ56" i="13"/>
  <c r="GX56" i="13"/>
  <c r="GW56" i="13"/>
  <c r="GV56" i="13"/>
  <c r="GU56" i="13"/>
  <c r="GQ56" i="13"/>
  <c r="GP56" i="13"/>
  <c r="GJ56" i="13"/>
  <c r="GH56" i="13"/>
  <c r="GF56" i="13"/>
  <c r="GD56" i="13"/>
  <c r="GC56" i="13"/>
  <c r="GB56" i="13"/>
  <c r="GA56" i="13"/>
  <c r="FW56" i="13"/>
  <c r="FV56" i="13"/>
  <c r="FP56" i="13"/>
  <c r="FN56" i="13"/>
  <c r="FL56" i="13"/>
  <c r="FJ56" i="13"/>
  <c r="FI56" i="13"/>
  <c r="FH56" i="13"/>
  <c r="FG56" i="13"/>
  <c r="FC56" i="13"/>
  <c r="FB56" i="13"/>
  <c r="EV56" i="13"/>
  <c r="ET56" i="13"/>
  <c r="ER56" i="13"/>
  <c r="EP56" i="13"/>
  <c r="EO56" i="13"/>
  <c r="EN56" i="13"/>
  <c r="EM56" i="13"/>
  <c r="EI56" i="13"/>
  <c r="EH56" i="13"/>
  <c r="EB56" i="13"/>
  <c r="DZ56" i="13"/>
  <c r="DX56" i="13"/>
  <c r="DV56" i="13"/>
  <c r="DU56" i="13"/>
  <c r="DT56" i="13"/>
  <c r="DS56" i="13"/>
  <c r="DO56" i="13"/>
  <c r="DN56" i="13"/>
  <c r="DH56" i="13"/>
  <c r="DF56" i="13"/>
  <c r="DD56" i="13"/>
  <c r="DB56" i="13"/>
  <c r="DA56" i="13"/>
  <c r="CZ56" i="13"/>
  <c r="CY56" i="13"/>
  <c r="CU56" i="13"/>
  <c r="CT56" i="13"/>
  <c r="CN56" i="13"/>
  <c r="CL56" i="13"/>
  <c r="CJ56" i="13"/>
  <c r="CH56" i="13"/>
  <c r="CG56" i="13"/>
  <c r="CF56" i="13"/>
  <c r="CE56" i="13"/>
  <c r="CA56" i="13"/>
  <c r="BZ56" i="13"/>
  <c r="BT56" i="13"/>
  <c r="BR56" i="13"/>
  <c r="BP56" i="13"/>
  <c r="BN56" i="13"/>
  <c r="BM56" i="13"/>
  <c r="BL56" i="13"/>
  <c r="BK56" i="13"/>
  <c r="BG56" i="13"/>
  <c r="BF56" i="13"/>
  <c r="AZ56" i="13"/>
  <c r="AX56" i="13"/>
  <c r="AV56" i="13"/>
  <c r="AT56" i="13"/>
  <c r="AS56" i="13"/>
  <c r="AR56" i="13"/>
  <c r="AQ56" i="13"/>
  <c r="AM56" i="13"/>
  <c r="AL56" i="13"/>
  <c r="AF56" i="13"/>
  <c r="AD56" i="13"/>
  <c r="AB56" i="13"/>
  <c r="Z56" i="13"/>
  <c r="Y56" i="13"/>
  <c r="X56" i="13"/>
  <c r="W56" i="13"/>
  <c r="S56" i="13"/>
  <c r="R56" i="13"/>
  <c r="L56" i="13"/>
  <c r="J56" i="13"/>
  <c r="H56" i="13"/>
  <c r="F56" i="13"/>
  <c r="E56" i="13"/>
  <c r="D56" i="13"/>
  <c r="C56" i="13"/>
  <c r="IC55" i="13"/>
  <c r="IB55" i="13"/>
  <c r="IA55" i="13"/>
  <c r="HZ55" i="13"/>
  <c r="HY55" i="13"/>
  <c r="HW55" i="13"/>
  <c r="HU55" i="13"/>
  <c r="HS55" i="13"/>
  <c r="HI55" i="13"/>
  <c r="HH55" i="13"/>
  <c r="HG55" i="13"/>
  <c r="HF55" i="13"/>
  <c r="HE55" i="13"/>
  <c r="HC55" i="13"/>
  <c r="HA55" i="13"/>
  <c r="GY55" i="13"/>
  <c r="GO55" i="13"/>
  <c r="GN55" i="13"/>
  <c r="GM55" i="13"/>
  <c r="GL55" i="13"/>
  <c r="GK55" i="13"/>
  <c r="GI55" i="13"/>
  <c r="GG55" i="13"/>
  <c r="FU55" i="13"/>
  <c r="FT55" i="13"/>
  <c r="FS55" i="13"/>
  <c r="FR55" i="13"/>
  <c r="FQ55" i="13"/>
  <c r="FO55" i="13"/>
  <c r="FM55" i="13"/>
  <c r="FK55" i="13"/>
  <c r="FA55" i="13"/>
  <c r="EZ55" i="13"/>
  <c r="EY55" i="13"/>
  <c r="EX55" i="13"/>
  <c r="EW55" i="13"/>
  <c r="EU55" i="13"/>
  <c r="ES55" i="13"/>
  <c r="EQ55" i="13"/>
  <c r="EG55" i="13"/>
  <c r="EF55" i="13"/>
  <c r="EE55" i="13"/>
  <c r="ED55" i="13"/>
  <c r="EC55" i="13"/>
  <c r="EA55" i="13"/>
  <c r="DY55" i="13"/>
  <c r="DW55" i="13"/>
  <c r="DM55" i="13"/>
  <c r="DL55" i="13"/>
  <c r="DK55" i="13"/>
  <c r="DJ55" i="13"/>
  <c r="DI55" i="13"/>
  <c r="DG55" i="13"/>
  <c r="DE55" i="13"/>
  <c r="DC55" i="13"/>
  <c r="CS55" i="13"/>
  <c r="CR55" i="13"/>
  <c r="CQ55" i="13"/>
  <c r="CP55" i="13"/>
  <c r="CO55" i="13"/>
  <c r="CM55" i="13"/>
  <c r="CK55" i="13"/>
  <c r="CI55" i="13"/>
  <c r="BY55" i="13"/>
  <c r="BX55" i="13"/>
  <c r="BW55" i="13"/>
  <c r="BV55" i="13"/>
  <c r="BU55" i="13"/>
  <c r="BS55" i="13"/>
  <c r="BQ55" i="13"/>
  <c r="BO55" i="13"/>
  <c r="BE55" i="13"/>
  <c r="BD55" i="13"/>
  <c r="BC55" i="13"/>
  <c r="BB55" i="13"/>
  <c r="BA55" i="13"/>
  <c r="AY55" i="13"/>
  <c r="AW55" i="13"/>
  <c r="AU55" i="13"/>
  <c r="AK55" i="13"/>
  <c r="AJ55" i="13"/>
  <c r="AI55" i="13"/>
  <c r="AH55" i="13"/>
  <c r="AG55" i="13"/>
  <c r="AE55" i="13"/>
  <c r="AC55" i="13"/>
  <c r="AA55" i="13"/>
  <c r="Q55" i="13"/>
  <c r="P55" i="13"/>
  <c r="O55" i="13"/>
  <c r="N55" i="13"/>
  <c r="M55" i="13"/>
  <c r="K55" i="13"/>
  <c r="I55" i="13"/>
  <c r="G55" i="13"/>
  <c r="IC54" i="13"/>
  <c r="IB54" i="13"/>
  <c r="IA54" i="13"/>
  <c r="HZ54" i="13"/>
  <c r="HY54" i="13"/>
  <c r="HW54" i="13"/>
  <c r="HU54" i="13"/>
  <c r="HS54" i="13"/>
  <c r="HI54" i="13"/>
  <c r="HH54" i="13"/>
  <c r="HG54" i="13"/>
  <c r="HF54" i="13"/>
  <c r="HE54" i="13"/>
  <c r="HC54" i="13"/>
  <c r="HC56" i="13" s="1"/>
  <c r="HA54" i="13"/>
  <c r="GY54" i="13"/>
  <c r="GO54" i="13"/>
  <c r="GN54" i="13"/>
  <c r="GM54" i="13"/>
  <c r="GL54" i="13"/>
  <c r="GK54" i="13"/>
  <c r="GI54" i="13"/>
  <c r="GG54" i="13"/>
  <c r="FU54" i="13"/>
  <c r="FT54" i="13"/>
  <c r="FS54" i="13"/>
  <c r="FR54" i="13"/>
  <c r="FQ54" i="13"/>
  <c r="FO54" i="13"/>
  <c r="FM54" i="13"/>
  <c r="FK54" i="13"/>
  <c r="FA54" i="13"/>
  <c r="EZ54" i="13"/>
  <c r="EY54" i="13"/>
  <c r="EX54" i="13"/>
  <c r="EW54" i="13"/>
  <c r="EU54" i="13"/>
  <c r="ES54" i="13"/>
  <c r="EQ54" i="13"/>
  <c r="EG54" i="13"/>
  <c r="EF54" i="13"/>
  <c r="EE54" i="13"/>
  <c r="ED54" i="13"/>
  <c r="EC54" i="13"/>
  <c r="EA54" i="13"/>
  <c r="DY54" i="13"/>
  <c r="DW54" i="13"/>
  <c r="DM54" i="13"/>
  <c r="DL54" i="13"/>
  <c r="DK54" i="13"/>
  <c r="DJ54" i="13"/>
  <c r="DI54" i="13"/>
  <c r="DG54" i="13"/>
  <c r="DE54" i="13"/>
  <c r="DC54" i="13"/>
  <c r="CS54" i="13"/>
  <c r="CR54" i="13"/>
  <c r="CQ54" i="13"/>
  <c r="CP54" i="13"/>
  <c r="CO54" i="13"/>
  <c r="CM54" i="13"/>
  <c r="CK54" i="13"/>
  <c r="CI54" i="13"/>
  <c r="BY54" i="13"/>
  <c r="BX54" i="13"/>
  <c r="BW54" i="13"/>
  <c r="BV54" i="13"/>
  <c r="BU54" i="13"/>
  <c r="BS54" i="13"/>
  <c r="BQ54" i="13"/>
  <c r="BO54" i="13"/>
  <c r="BE54" i="13"/>
  <c r="BD54" i="13"/>
  <c r="BC54" i="13"/>
  <c r="BB54" i="13"/>
  <c r="BA54" i="13"/>
  <c r="AY54" i="13"/>
  <c r="AW54" i="13"/>
  <c r="AU54" i="13"/>
  <c r="AK54" i="13"/>
  <c r="AJ54" i="13"/>
  <c r="AI54" i="13"/>
  <c r="AH54" i="13"/>
  <c r="AG54" i="13"/>
  <c r="AE54" i="13"/>
  <c r="AC54" i="13"/>
  <c r="AA54" i="13"/>
  <c r="Q54" i="13"/>
  <c r="P54" i="13"/>
  <c r="O54" i="13"/>
  <c r="N54" i="13"/>
  <c r="M54" i="13"/>
  <c r="K54" i="13"/>
  <c r="I54" i="13"/>
  <c r="G54" i="13"/>
  <c r="IC53" i="13"/>
  <c r="IC56" i="13" s="1"/>
  <c r="IB53" i="13"/>
  <c r="IB56" i="13" s="1"/>
  <c r="IA53" i="13"/>
  <c r="IA56" i="13" s="1"/>
  <c r="HZ53" i="13"/>
  <c r="HZ56" i="13" s="1"/>
  <c r="HY53" i="13"/>
  <c r="HY56" i="13" s="1"/>
  <c r="HW53" i="13"/>
  <c r="HW56" i="13" s="1"/>
  <c r="HU53" i="13"/>
  <c r="HU56" i="13" s="1"/>
  <c r="HS53" i="13"/>
  <c r="HS56" i="13" s="1"/>
  <c r="HI53" i="13"/>
  <c r="HI56" i="13" s="1"/>
  <c r="HH53" i="13"/>
  <c r="HH56" i="13" s="1"/>
  <c r="HG53" i="13"/>
  <c r="HG56" i="13" s="1"/>
  <c r="HF53" i="13"/>
  <c r="HF56" i="13" s="1"/>
  <c r="HE53" i="13"/>
  <c r="HE56" i="13" s="1"/>
  <c r="HC53" i="13"/>
  <c r="HA53" i="13"/>
  <c r="HA56" i="13" s="1"/>
  <c r="GY53" i="13"/>
  <c r="GY56" i="13" s="1"/>
  <c r="GO53" i="13"/>
  <c r="GO56" i="13" s="1"/>
  <c r="GN53" i="13"/>
  <c r="GN56" i="13" s="1"/>
  <c r="GM53" i="13"/>
  <c r="GM56" i="13" s="1"/>
  <c r="GL53" i="13"/>
  <c r="GL56" i="13" s="1"/>
  <c r="GK53" i="13"/>
  <c r="GK56" i="13" s="1"/>
  <c r="GI53" i="13"/>
  <c r="GI56" i="13" s="1"/>
  <c r="GG53" i="13"/>
  <c r="GG56" i="13" s="1"/>
  <c r="GE56" i="13"/>
  <c r="FU53" i="13"/>
  <c r="FU56" i="13" s="1"/>
  <c r="FT53" i="13"/>
  <c r="FT56" i="13" s="1"/>
  <c r="FS53" i="13"/>
  <c r="FS56" i="13" s="1"/>
  <c r="FR53" i="13"/>
  <c r="FR56" i="13" s="1"/>
  <c r="FQ53" i="13"/>
  <c r="FQ56" i="13" s="1"/>
  <c r="FO53" i="13"/>
  <c r="FO56" i="13" s="1"/>
  <c r="FM53" i="13"/>
  <c r="FM56" i="13" s="1"/>
  <c r="FK53" i="13"/>
  <c r="FK56" i="13" s="1"/>
  <c r="FA53" i="13"/>
  <c r="FA56" i="13" s="1"/>
  <c r="EZ53" i="13"/>
  <c r="EZ56" i="13" s="1"/>
  <c r="EY53" i="13"/>
  <c r="EY56" i="13" s="1"/>
  <c r="EX53" i="13"/>
  <c r="EX56" i="13" s="1"/>
  <c r="EW53" i="13"/>
  <c r="EW56" i="13" s="1"/>
  <c r="EU53" i="13"/>
  <c r="EU56" i="13" s="1"/>
  <c r="ES53" i="13"/>
  <c r="ES56" i="13" s="1"/>
  <c r="EQ53" i="13"/>
  <c r="EQ56" i="13" s="1"/>
  <c r="EG53" i="13"/>
  <c r="EG56" i="13" s="1"/>
  <c r="EF53" i="13"/>
  <c r="EF56" i="13" s="1"/>
  <c r="EE53" i="13"/>
  <c r="EE56" i="13" s="1"/>
  <c r="ED53" i="13"/>
  <c r="ED56" i="13" s="1"/>
  <c r="EC53" i="13"/>
  <c r="EC56" i="13" s="1"/>
  <c r="EA53" i="13"/>
  <c r="EA56" i="13" s="1"/>
  <c r="DY53" i="13"/>
  <c r="DY56" i="13" s="1"/>
  <c r="DW53" i="13"/>
  <c r="DW56" i="13" s="1"/>
  <c r="DM53" i="13"/>
  <c r="DM56" i="13" s="1"/>
  <c r="DL53" i="13"/>
  <c r="DL56" i="13" s="1"/>
  <c r="DK53" i="13"/>
  <c r="DK56" i="13" s="1"/>
  <c r="DJ53" i="13"/>
  <c r="DJ56" i="13" s="1"/>
  <c r="DI53" i="13"/>
  <c r="DI56" i="13" s="1"/>
  <c r="DG53" i="13"/>
  <c r="DG56" i="13" s="1"/>
  <c r="DE53" i="13"/>
  <c r="DE56" i="13" s="1"/>
  <c r="DC53" i="13"/>
  <c r="DC56" i="13" s="1"/>
  <c r="CS53" i="13"/>
  <c r="CS56" i="13" s="1"/>
  <c r="CR53" i="13"/>
  <c r="CR56" i="13" s="1"/>
  <c r="CQ53" i="13"/>
  <c r="CQ56" i="13" s="1"/>
  <c r="CP53" i="13"/>
  <c r="CP56" i="13" s="1"/>
  <c r="CO53" i="13"/>
  <c r="CO56" i="13" s="1"/>
  <c r="CM53" i="13"/>
  <c r="CM56" i="13" s="1"/>
  <c r="CK53" i="13"/>
  <c r="CK56" i="13" s="1"/>
  <c r="CI53" i="13"/>
  <c r="CI56" i="13" s="1"/>
  <c r="BY53" i="13"/>
  <c r="BY56" i="13" s="1"/>
  <c r="BX53" i="13"/>
  <c r="BX56" i="13" s="1"/>
  <c r="BW53" i="13"/>
  <c r="BW56" i="13" s="1"/>
  <c r="BV53" i="13"/>
  <c r="BV56" i="13" s="1"/>
  <c r="BU53" i="13"/>
  <c r="BU56" i="13" s="1"/>
  <c r="BS53" i="13"/>
  <c r="BS56" i="13" s="1"/>
  <c r="BQ53" i="13"/>
  <c r="BQ56" i="13" s="1"/>
  <c r="BO53" i="13"/>
  <c r="BO56" i="13" s="1"/>
  <c r="BE53" i="13"/>
  <c r="BE56" i="13" s="1"/>
  <c r="BD53" i="13"/>
  <c r="BD56" i="13" s="1"/>
  <c r="BC53" i="13"/>
  <c r="BC56" i="13" s="1"/>
  <c r="BB53" i="13"/>
  <c r="BB56" i="13" s="1"/>
  <c r="BA53" i="13"/>
  <c r="BA56" i="13" s="1"/>
  <c r="AY53" i="13"/>
  <c r="AY56" i="13" s="1"/>
  <c r="AW53" i="13"/>
  <c r="AW56" i="13" s="1"/>
  <c r="AU53" i="13"/>
  <c r="AU56" i="13" s="1"/>
  <c r="AK53" i="13"/>
  <c r="AK56" i="13" s="1"/>
  <c r="AJ53" i="13"/>
  <c r="AJ56" i="13" s="1"/>
  <c r="AI53" i="13"/>
  <c r="AI56" i="13" s="1"/>
  <c r="AH53" i="13"/>
  <c r="AH56" i="13" s="1"/>
  <c r="AG53" i="13"/>
  <c r="AG56" i="13" s="1"/>
  <c r="AE53" i="13"/>
  <c r="AE56" i="13" s="1"/>
  <c r="AC53" i="13"/>
  <c r="AC56" i="13" s="1"/>
  <c r="AA53" i="13"/>
  <c r="AA56" i="13" s="1"/>
  <c r="Q53" i="13"/>
  <c r="Q56" i="13" s="1"/>
  <c r="P53" i="13"/>
  <c r="P56" i="13" s="1"/>
  <c r="O53" i="13"/>
  <c r="O56" i="13" s="1"/>
  <c r="N53" i="13"/>
  <c r="N56" i="13" s="1"/>
  <c r="M53" i="13"/>
  <c r="M56" i="13" s="1"/>
  <c r="K53" i="13"/>
  <c r="K56" i="13" s="1"/>
  <c r="I53" i="13"/>
  <c r="I56" i="13" s="1"/>
  <c r="G53" i="13"/>
  <c r="G56" i="13" s="1"/>
  <c r="IE52" i="13"/>
  <c r="ID52" i="13"/>
  <c r="HX52" i="13"/>
  <c r="HV52" i="13"/>
  <c r="HT52" i="13"/>
  <c r="HR52" i="13"/>
  <c r="HQ52" i="13"/>
  <c r="HP52" i="13"/>
  <c r="HO52" i="13"/>
  <c r="HK52" i="13"/>
  <c r="HJ52" i="13"/>
  <c r="HD52" i="13"/>
  <c r="HB52" i="13"/>
  <c r="GZ52" i="13"/>
  <c r="GX52" i="13"/>
  <c r="GW52" i="13"/>
  <c r="GV52" i="13"/>
  <c r="GU52" i="13"/>
  <c r="GQ52" i="13"/>
  <c r="GP52" i="13"/>
  <c r="GJ52" i="13"/>
  <c r="GH52" i="13"/>
  <c r="GF52" i="13"/>
  <c r="GD52" i="13"/>
  <c r="GC52" i="13"/>
  <c r="GB52" i="13"/>
  <c r="GA52" i="13"/>
  <c r="FW52" i="13"/>
  <c r="FV52" i="13"/>
  <c r="FP52" i="13"/>
  <c r="FN52" i="13"/>
  <c r="FL52" i="13"/>
  <c r="FJ52" i="13"/>
  <c r="FI52" i="13"/>
  <c r="FH52" i="13"/>
  <c r="FG52" i="13"/>
  <c r="FC52" i="13"/>
  <c r="FB52" i="13"/>
  <c r="EV52" i="13"/>
  <c r="ET52" i="13"/>
  <c r="ER52" i="13"/>
  <c r="EP52" i="13"/>
  <c r="EO52" i="13"/>
  <c r="EN52" i="13"/>
  <c r="EM52" i="13"/>
  <c r="EI52" i="13"/>
  <c r="EH52" i="13"/>
  <c r="EB52" i="13"/>
  <c r="DZ52" i="13"/>
  <c r="DX52" i="13"/>
  <c r="DV52" i="13"/>
  <c r="DU52" i="13"/>
  <c r="DT52" i="13"/>
  <c r="DS52" i="13"/>
  <c r="DO52" i="13"/>
  <c r="DN52" i="13"/>
  <c r="DH52" i="13"/>
  <c r="DF52" i="13"/>
  <c r="DD52" i="13"/>
  <c r="DB52" i="13"/>
  <c r="DA52" i="13"/>
  <c r="CZ52" i="13"/>
  <c r="CY52" i="13"/>
  <c r="CU52" i="13"/>
  <c r="CT52" i="13"/>
  <c r="CN52" i="13"/>
  <c r="CL52" i="13"/>
  <c r="CJ52" i="13"/>
  <c r="CH52" i="13"/>
  <c r="CG52" i="13"/>
  <c r="CF52" i="13"/>
  <c r="CE52" i="13"/>
  <c r="CA52" i="13"/>
  <c r="BZ52" i="13"/>
  <c r="BT52" i="13"/>
  <c r="BR52" i="13"/>
  <c r="BP52" i="13"/>
  <c r="BN52" i="13"/>
  <c r="BM52" i="13"/>
  <c r="BL52" i="13"/>
  <c r="BK52" i="13"/>
  <c r="BG52" i="13"/>
  <c r="BF52" i="13"/>
  <c r="AZ52" i="13"/>
  <c r="AX52" i="13"/>
  <c r="AV52" i="13"/>
  <c r="AT52" i="13"/>
  <c r="AS52" i="13"/>
  <c r="AR52" i="13"/>
  <c r="AQ52" i="13"/>
  <c r="AM52" i="13"/>
  <c r="AL52" i="13"/>
  <c r="AF52" i="13"/>
  <c r="AD52" i="13"/>
  <c r="AB52" i="13"/>
  <c r="Z52" i="13"/>
  <c r="Y52" i="13"/>
  <c r="X52" i="13"/>
  <c r="W52" i="13"/>
  <c r="S52" i="13"/>
  <c r="R52" i="13"/>
  <c r="L52" i="13"/>
  <c r="J52" i="13"/>
  <c r="H52" i="13"/>
  <c r="F52" i="13"/>
  <c r="E52" i="13"/>
  <c r="D52" i="13"/>
  <c r="C52" i="13"/>
  <c r="IC51" i="13"/>
  <c r="IB51" i="13"/>
  <c r="IA51" i="13"/>
  <c r="HZ51" i="13"/>
  <c r="HY51" i="13"/>
  <c r="HW51" i="13"/>
  <c r="HU51" i="13"/>
  <c r="HS51" i="13"/>
  <c r="HI51" i="13"/>
  <c r="HH51" i="13"/>
  <c r="HG51" i="13"/>
  <c r="HF51" i="13"/>
  <c r="HE51" i="13"/>
  <c r="HC51" i="13"/>
  <c r="HA51" i="13"/>
  <c r="GY51" i="13"/>
  <c r="GO51" i="13"/>
  <c r="GN51" i="13"/>
  <c r="GM51" i="13"/>
  <c r="GL51" i="13"/>
  <c r="GK51" i="13"/>
  <c r="GI51" i="13"/>
  <c r="GG51" i="13"/>
  <c r="FU51" i="13"/>
  <c r="FT51" i="13"/>
  <c r="FS51" i="13"/>
  <c r="FR51" i="13"/>
  <c r="FQ51" i="13"/>
  <c r="FO51" i="13"/>
  <c r="FM51" i="13"/>
  <c r="FK51" i="13"/>
  <c r="FA51" i="13"/>
  <c r="EZ51" i="13"/>
  <c r="EY51" i="13"/>
  <c r="EX51" i="13"/>
  <c r="EW51" i="13"/>
  <c r="EU51" i="13"/>
  <c r="ES51" i="13"/>
  <c r="EQ51" i="13"/>
  <c r="EG51" i="13"/>
  <c r="EF51" i="13"/>
  <c r="EE51" i="13"/>
  <c r="ED51" i="13"/>
  <c r="EC51" i="13"/>
  <c r="EA51" i="13"/>
  <c r="DY51" i="13"/>
  <c r="DW51" i="13"/>
  <c r="DM51" i="13"/>
  <c r="DL51" i="13"/>
  <c r="DK51" i="13"/>
  <c r="DJ51" i="13"/>
  <c r="DI51" i="13"/>
  <c r="DG51" i="13"/>
  <c r="DE51" i="13"/>
  <c r="DC51" i="13"/>
  <c r="CS51" i="13"/>
  <c r="CR51" i="13"/>
  <c r="CQ51" i="13"/>
  <c r="CP51" i="13"/>
  <c r="CO51" i="13"/>
  <c r="CM51" i="13"/>
  <c r="CK51" i="13"/>
  <c r="CI51" i="13"/>
  <c r="BY51" i="13"/>
  <c r="BX51" i="13"/>
  <c r="BW51" i="13"/>
  <c r="BV51" i="13"/>
  <c r="BU51" i="13"/>
  <c r="BS51" i="13"/>
  <c r="BQ51" i="13"/>
  <c r="BO51" i="13"/>
  <c r="BE51" i="13"/>
  <c r="BD51" i="13"/>
  <c r="BC51" i="13"/>
  <c r="BB51" i="13"/>
  <c r="BA51" i="13"/>
  <c r="AY51" i="13"/>
  <c r="AW51" i="13"/>
  <c r="AU51" i="13"/>
  <c r="AK51" i="13"/>
  <c r="AJ51" i="13"/>
  <c r="AI51" i="13"/>
  <c r="AH51" i="13"/>
  <c r="AG51" i="13"/>
  <c r="AE51" i="13"/>
  <c r="AC51" i="13"/>
  <c r="AA51" i="13"/>
  <c r="Q51" i="13"/>
  <c r="P51" i="13"/>
  <c r="O51" i="13"/>
  <c r="N51" i="13"/>
  <c r="M51" i="13"/>
  <c r="K51" i="13"/>
  <c r="I51" i="13"/>
  <c r="G51" i="13"/>
  <c r="IC50" i="13"/>
  <c r="IC52" i="13" s="1"/>
  <c r="IB50" i="13"/>
  <c r="IB52" i="13" s="1"/>
  <c r="IA50" i="13"/>
  <c r="IA52" i="13" s="1"/>
  <c r="HZ50" i="13"/>
  <c r="HZ52" i="13" s="1"/>
  <c r="HY50" i="13"/>
  <c r="HY52" i="13" s="1"/>
  <c r="HW50" i="13"/>
  <c r="HW52" i="13" s="1"/>
  <c r="HU50" i="13"/>
  <c r="HU52" i="13" s="1"/>
  <c r="HS50" i="13"/>
  <c r="HS52" i="13" s="1"/>
  <c r="HI50" i="13"/>
  <c r="HI52" i="13" s="1"/>
  <c r="HH50" i="13"/>
  <c r="HH52" i="13" s="1"/>
  <c r="HG50" i="13"/>
  <c r="HG52" i="13" s="1"/>
  <c r="HF50" i="13"/>
  <c r="HF52" i="13" s="1"/>
  <c r="HE50" i="13"/>
  <c r="HE52" i="13" s="1"/>
  <c r="HC50" i="13"/>
  <c r="HC52" i="13" s="1"/>
  <c r="HA50" i="13"/>
  <c r="HA52" i="13" s="1"/>
  <c r="GY50" i="13"/>
  <c r="GY52" i="13" s="1"/>
  <c r="GO50" i="13"/>
  <c r="GO52" i="13" s="1"/>
  <c r="GN50" i="13"/>
  <c r="GN52" i="13" s="1"/>
  <c r="GM50" i="13"/>
  <c r="GM52" i="13" s="1"/>
  <c r="GL50" i="13"/>
  <c r="GL52" i="13" s="1"/>
  <c r="GK50" i="13"/>
  <c r="GK52" i="13" s="1"/>
  <c r="GI50" i="13"/>
  <c r="GI52" i="13" s="1"/>
  <c r="GG50" i="13"/>
  <c r="GG52" i="13" s="1"/>
  <c r="GE52" i="13"/>
  <c r="FU50" i="13"/>
  <c r="FU52" i="13" s="1"/>
  <c r="FT50" i="13"/>
  <c r="FT52" i="13" s="1"/>
  <c r="FS50" i="13"/>
  <c r="FS52" i="13" s="1"/>
  <c r="FR50" i="13"/>
  <c r="FR52" i="13" s="1"/>
  <c r="FQ50" i="13"/>
  <c r="FQ52" i="13" s="1"/>
  <c r="FO50" i="13"/>
  <c r="FO52" i="13" s="1"/>
  <c r="FM50" i="13"/>
  <c r="FM52" i="13" s="1"/>
  <c r="FK50" i="13"/>
  <c r="FK52" i="13" s="1"/>
  <c r="FA50" i="13"/>
  <c r="FA52" i="13" s="1"/>
  <c r="EZ50" i="13"/>
  <c r="EZ52" i="13" s="1"/>
  <c r="EY50" i="13"/>
  <c r="EY52" i="13" s="1"/>
  <c r="EX50" i="13"/>
  <c r="EX52" i="13" s="1"/>
  <c r="EW50" i="13"/>
  <c r="EW52" i="13" s="1"/>
  <c r="EU50" i="13"/>
  <c r="EU52" i="13" s="1"/>
  <c r="ES50" i="13"/>
  <c r="ES52" i="13" s="1"/>
  <c r="EQ50" i="13"/>
  <c r="EQ52" i="13" s="1"/>
  <c r="EG50" i="13"/>
  <c r="EG52" i="13" s="1"/>
  <c r="EF50" i="13"/>
  <c r="EF52" i="13" s="1"/>
  <c r="EE50" i="13"/>
  <c r="EE52" i="13" s="1"/>
  <c r="ED50" i="13"/>
  <c r="ED52" i="13" s="1"/>
  <c r="EC50" i="13"/>
  <c r="EC52" i="13" s="1"/>
  <c r="EA50" i="13"/>
  <c r="EA52" i="13" s="1"/>
  <c r="DY50" i="13"/>
  <c r="DY52" i="13" s="1"/>
  <c r="DW50" i="13"/>
  <c r="DW52" i="13" s="1"/>
  <c r="DM50" i="13"/>
  <c r="DM52" i="13" s="1"/>
  <c r="DL50" i="13"/>
  <c r="DL52" i="13" s="1"/>
  <c r="DK50" i="13"/>
  <c r="DK52" i="13" s="1"/>
  <c r="DJ50" i="13"/>
  <c r="DJ52" i="13" s="1"/>
  <c r="DI50" i="13"/>
  <c r="DI52" i="13" s="1"/>
  <c r="DG50" i="13"/>
  <c r="DG52" i="13" s="1"/>
  <c r="DE50" i="13"/>
  <c r="DE52" i="13" s="1"/>
  <c r="DC50" i="13"/>
  <c r="DC52" i="13" s="1"/>
  <c r="CS50" i="13"/>
  <c r="CS52" i="13" s="1"/>
  <c r="CR50" i="13"/>
  <c r="CR52" i="13" s="1"/>
  <c r="CQ50" i="13"/>
  <c r="CQ52" i="13" s="1"/>
  <c r="CP50" i="13"/>
  <c r="CP52" i="13" s="1"/>
  <c r="CO50" i="13"/>
  <c r="CO52" i="13" s="1"/>
  <c r="CM50" i="13"/>
  <c r="CM52" i="13" s="1"/>
  <c r="CK50" i="13"/>
  <c r="CK52" i="13" s="1"/>
  <c r="CI50" i="13"/>
  <c r="CI52" i="13" s="1"/>
  <c r="BY50" i="13"/>
  <c r="BY52" i="13" s="1"/>
  <c r="BX50" i="13"/>
  <c r="BX52" i="13" s="1"/>
  <c r="BW50" i="13"/>
  <c r="BW52" i="13" s="1"/>
  <c r="BV50" i="13"/>
  <c r="BV52" i="13" s="1"/>
  <c r="BU50" i="13"/>
  <c r="BU52" i="13" s="1"/>
  <c r="BS50" i="13"/>
  <c r="BS52" i="13" s="1"/>
  <c r="BQ50" i="13"/>
  <c r="BQ52" i="13" s="1"/>
  <c r="BO50" i="13"/>
  <c r="BO52" i="13" s="1"/>
  <c r="BE50" i="13"/>
  <c r="BE52" i="13" s="1"/>
  <c r="BD50" i="13"/>
  <c r="BD52" i="13" s="1"/>
  <c r="BC50" i="13"/>
  <c r="BC52" i="13" s="1"/>
  <c r="BB50" i="13"/>
  <c r="BB52" i="13" s="1"/>
  <c r="BA50" i="13"/>
  <c r="BA52" i="13" s="1"/>
  <c r="AY50" i="13"/>
  <c r="AY52" i="13" s="1"/>
  <c r="AW50" i="13"/>
  <c r="AW52" i="13" s="1"/>
  <c r="AU50" i="13"/>
  <c r="AU52" i="13" s="1"/>
  <c r="AK50" i="13"/>
  <c r="AK52" i="13" s="1"/>
  <c r="AJ50" i="13"/>
  <c r="AJ52" i="13" s="1"/>
  <c r="AI50" i="13"/>
  <c r="AI52" i="13" s="1"/>
  <c r="AH50" i="13"/>
  <c r="AH52" i="13" s="1"/>
  <c r="AG50" i="13"/>
  <c r="AG52" i="13" s="1"/>
  <c r="AE50" i="13"/>
  <c r="AE52" i="13" s="1"/>
  <c r="AC50" i="13"/>
  <c r="AC52" i="13" s="1"/>
  <c r="AA50" i="13"/>
  <c r="AA52" i="13" s="1"/>
  <c r="Q50" i="13"/>
  <c r="Q52" i="13" s="1"/>
  <c r="P50" i="13"/>
  <c r="P52" i="13" s="1"/>
  <c r="O50" i="13"/>
  <c r="O52" i="13" s="1"/>
  <c r="N50" i="13"/>
  <c r="N52" i="13" s="1"/>
  <c r="M50" i="13"/>
  <c r="M52" i="13" s="1"/>
  <c r="K50" i="13"/>
  <c r="K52" i="13" s="1"/>
  <c r="I50" i="13"/>
  <c r="I52" i="13" s="1"/>
  <c r="G50" i="13"/>
  <c r="G52" i="13" s="1"/>
  <c r="IE49" i="13"/>
  <c r="ID49" i="13"/>
  <c r="HX49" i="13"/>
  <c r="HV49" i="13"/>
  <c r="HT49" i="13"/>
  <c r="HR49" i="13"/>
  <c r="HQ49" i="13"/>
  <c r="HP49" i="13"/>
  <c r="HO49" i="13"/>
  <c r="HK49" i="13"/>
  <c r="HJ49" i="13"/>
  <c r="HD49" i="13"/>
  <c r="HB49" i="13"/>
  <c r="GZ49" i="13"/>
  <c r="GX49" i="13"/>
  <c r="GW49" i="13"/>
  <c r="GV49" i="13"/>
  <c r="GU49" i="13"/>
  <c r="GQ49" i="13"/>
  <c r="GP49" i="13"/>
  <c r="GJ49" i="13"/>
  <c r="GH49" i="13"/>
  <c r="GF49" i="13"/>
  <c r="GD49" i="13"/>
  <c r="GC49" i="13"/>
  <c r="GB49" i="13"/>
  <c r="GA49" i="13"/>
  <c r="FW49" i="13"/>
  <c r="FV49" i="13"/>
  <c r="FP49" i="13"/>
  <c r="FN49" i="13"/>
  <c r="FL49" i="13"/>
  <c r="FJ49" i="13"/>
  <c r="FI49" i="13"/>
  <c r="FH49" i="13"/>
  <c r="FG49" i="13"/>
  <c r="FC49" i="13"/>
  <c r="FB49" i="13"/>
  <c r="EV49" i="13"/>
  <c r="ET49" i="13"/>
  <c r="ER49" i="13"/>
  <c r="EP49" i="13"/>
  <c r="EO49" i="13"/>
  <c r="EN49" i="13"/>
  <c r="EM49" i="13"/>
  <c r="EI49" i="13"/>
  <c r="EH49" i="13"/>
  <c r="EB49" i="13"/>
  <c r="DZ49" i="13"/>
  <c r="DX49" i="13"/>
  <c r="DV49" i="13"/>
  <c r="DU49" i="13"/>
  <c r="DT49" i="13"/>
  <c r="DS49" i="13"/>
  <c r="DO49" i="13"/>
  <c r="DN49" i="13"/>
  <c r="DH49" i="13"/>
  <c r="DF49" i="13"/>
  <c r="DD49" i="13"/>
  <c r="DB49" i="13"/>
  <c r="DA49" i="13"/>
  <c r="CZ49" i="13"/>
  <c r="CY49" i="13"/>
  <c r="CU49" i="13"/>
  <c r="CT49" i="13"/>
  <c r="CN49" i="13"/>
  <c r="CL49" i="13"/>
  <c r="CJ49" i="13"/>
  <c r="CH49" i="13"/>
  <c r="CG49" i="13"/>
  <c r="CF49" i="13"/>
  <c r="CE49" i="13"/>
  <c r="CA49" i="13"/>
  <c r="BZ49" i="13"/>
  <c r="BT49" i="13"/>
  <c r="BR49" i="13"/>
  <c r="BP49" i="13"/>
  <c r="BN49" i="13"/>
  <c r="BM49" i="13"/>
  <c r="BL49" i="13"/>
  <c r="BK49" i="13"/>
  <c r="BG49" i="13"/>
  <c r="BF49" i="13"/>
  <c r="AZ49" i="13"/>
  <c r="AX49" i="13"/>
  <c r="AV49" i="13"/>
  <c r="AT49" i="13"/>
  <c r="AS49" i="13"/>
  <c r="AR49" i="13"/>
  <c r="AQ49" i="13"/>
  <c r="AM49" i="13"/>
  <c r="AL49" i="13"/>
  <c r="AF49" i="13"/>
  <c r="AD49" i="13"/>
  <c r="AB49" i="13"/>
  <c r="Z49" i="13"/>
  <c r="Y49" i="13"/>
  <c r="X49" i="13"/>
  <c r="W49" i="13"/>
  <c r="S49" i="13"/>
  <c r="R49" i="13"/>
  <c r="L49" i="13"/>
  <c r="J49" i="13"/>
  <c r="H49" i="13"/>
  <c r="F49" i="13"/>
  <c r="E49" i="13"/>
  <c r="D49" i="13"/>
  <c r="C49" i="13"/>
  <c r="IC48" i="13"/>
  <c r="IB48" i="13"/>
  <c r="IA48" i="13"/>
  <c r="HZ48" i="13"/>
  <c r="HY48" i="13"/>
  <c r="HW48" i="13"/>
  <c r="HU48" i="13"/>
  <c r="HS48" i="13"/>
  <c r="HI48" i="13"/>
  <c r="HH48" i="13"/>
  <c r="HG48" i="13"/>
  <c r="HF48" i="13"/>
  <c r="HE48" i="13"/>
  <c r="HC48" i="13"/>
  <c r="HA48" i="13"/>
  <c r="GY48" i="13"/>
  <c r="GO48" i="13"/>
  <c r="GN48" i="13"/>
  <c r="GM48" i="13"/>
  <c r="GL48" i="13"/>
  <c r="GK48" i="13"/>
  <c r="GI48" i="13"/>
  <c r="GG48" i="13"/>
  <c r="FU48" i="13"/>
  <c r="FT48" i="13"/>
  <c r="FS48" i="13"/>
  <c r="FR48" i="13"/>
  <c r="FQ48" i="13"/>
  <c r="FO48" i="13"/>
  <c r="FM48" i="13"/>
  <c r="FK48" i="13"/>
  <c r="FA48" i="13"/>
  <c r="EZ48" i="13"/>
  <c r="EY48" i="13"/>
  <c r="EX48" i="13"/>
  <c r="EW48" i="13"/>
  <c r="EU48" i="13"/>
  <c r="ES48" i="13"/>
  <c r="EQ48" i="13"/>
  <c r="EG48" i="13"/>
  <c r="EF48" i="13"/>
  <c r="EE48" i="13"/>
  <c r="ED48" i="13"/>
  <c r="EC48" i="13"/>
  <c r="EA48" i="13"/>
  <c r="DY48" i="13"/>
  <c r="DW48" i="13"/>
  <c r="DM48" i="13"/>
  <c r="DL48" i="13"/>
  <c r="DK48" i="13"/>
  <c r="DJ48" i="13"/>
  <c r="DI48" i="13"/>
  <c r="DG48" i="13"/>
  <c r="DE48" i="13"/>
  <c r="DC48" i="13"/>
  <c r="CS48" i="13"/>
  <c r="CR48" i="13"/>
  <c r="CQ48" i="13"/>
  <c r="CP48" i="13"/>
  <c r="CO48" i="13"/>
  <c r="CM48" i="13"/>
  <c r="CK48" i="13"/>
  <c r="CI48" i="13"/>
  <c r="BY48" i="13"/>
  <c r="BX48" i="13"/>
  <c r="BW48" i="13"/>
  <c r="BV48" i="13"/>
  <c r="BU48" i="13"/>
  <c r="BS48" i="13"/>
  <c r="BQ48" i="13"/>
  <c r="BO48" i="13"/>
  <c r="BE48" i="13"/>
  <c r="BD48" i="13"/>
  <c r="BC48" i="13"/>
  <c r="BB48" i="13"/>
  <c r="BA48" i="13"/>
  <c r="AY48" i="13"/>
  <c r="AW48" i="13"/>
  <c r="AU48" i="13"/>
  <c r="AK48" i="13"/>
  <c r="AJ48" i="13"/>
  <c r="AI48" i="13"/>
  <c r="AH48" i="13"/>
  <c r="AG48" i="13"/>
  <c r="AE48" i="13"/>
  <c r="AC48" i="13"/>
  <c r="AA48" i="13"/>
  <c r="Q48" i="13"/>
  <c r="P48" i="13"/>
  <c r="O48" i="13"/>
  <c r="N48" i="13"/>
  <c r="M48" i="13"/>
  <c r="K48" i="13"/>
  <c r="I48" i="13"/>
  <c r="G48" i="13"/>
  <c r="IC47" i="13"/>
  <c r="IC49" i="13" s="1"/>
  <c r="IB47" i="13"/>
  <c r="IB49" i="13" s="1"/>
  <c r="IA47" i="13"/>
  <c r="IA49" i="13" s="1"/>
  <c r="HZ47" i="13"/>
  <c r="HZ49" i="13" s="1"/>
  <c r="HY47" i="13"/>
  <c r="HY49" i="13" s="1"/>
  <c r="HW47" i="13"/>
  <c r="HW49" i="13" s="1"/>
  <c r="HU47" i="13"/>
  <c r="HU49" i="13" s="1"/>
  <c r="HS47" i="13"/>
  <c r="HS49" i="13" s="1"/>
  <c r="HI47" i="13"/>
  <c r="HI49" i="13" s="1"/>
  <c r="HH47" i="13"/>
  <c r="HH49" i="13" s="1"/>
  <c r="HG47" i="13"/>
  <c r="HG49" i="13" s="1"/>
  <c r="HF47" i="13"/>
  <c r="HF49" i="13" s="1"/>
  <c r="HE47" i="13"/>
  <c r="HE49" i="13" s="1"/>
  <c r="HC47" i="13"/>
  <c r="HC49" i="13" s="1"/>
  <c r="HA47" i="13"/>
  <c r="HA49" i="13" s="1"/>
  <c r="GY47" i="13"/>
  <c r="GY49" i="13" s="1"/>
  <c r="GO47" i="13"/>
  <c r="GO49" i="13" s="1"/>
  <c r="GN47" i="13"/>
  <c r="GN49" i="13" s="1"/>
  <c r="GM47" i="13"/>
  <c r="GM49" i="13" s="1"/>
  <c r="GL47" i="13"/>
  <c r="GL49" i="13" s="1"/>
  <c r="GK47" i="13"/>
  <c r="GK49" i="13" s="1"/>
  <c r="GI47" i="13"/>
  <c r="GI49" i="13" s="1"/>
  <c r="GG47" i="13"/>
  <c r="GG49" i="13" s="1"/>
  <c r="GE49" i="13"/>
  <c r="FU47" i="13"/>
  <c r="FU49" i="13" s="1"/>
  <c r="FT47" i="13"/>
  <c r="FT49" i="13" s="1"/>
  <c r="FS47" i="13"/>
  <c r="FS49" i="13" s="1"/>
  <c r="FR47" i="13"/>
  <c r="FR49" i="13" s="1"/>
  <c r="FQ47" i="13"/>
  <c r="FQ49" i="13" s="1"/>
  <c r="FO47" i="13"/>
  <c r="FO49" i="13" s="1"/>
  <c r="FM47" i="13"/>
  <c r="FM49" i="13" s="1"/>
  <c r="FK47" i="13"/>
  <c r="FK49" i="13" s="1"/>
  <c r="FA47" i="13"/>
  <c r="FA49" i="13" s="1"/>
  <c r="EZ47" i="13"/>
  <c r="EZ49" i="13" s="1"/>
  <c r="EY47" i="13"/>
  <c r="EY49" i="13" s="1"/>
  <c r="EX47" i="13"/>
  <c r="EX49" i="13" s="1"/>
  <c r="EW47" i="13"/>
  <c r="EW49" i="13" s="1"/>
  <c r="EU47" i="13"/>
  <c r="EU49" i="13" s="1"/>
  <c r="ES47" i="13"/>
  <c r="ES49" i="13" s="1"/>
  <c r="EQ47" i="13"/>
  <c r="EQ49" i="13" s="1"/>
  <c r="EG47" i="13"/>
  <c r="EG49" i="13" s="1"/>
  <c r="EF47" i="13"/>
  <c r="EF49" i="13" s="1"/>
  <c r="EE47" i="13"/>
  <c r="EE49" i="13" s="1"/>
  <c r="ED47" i="13"/>
  <c r="ED49" i="13" s="1"/>
  <c r="EC47" i="13"/>
  <c r="EC49" i="13" s="1"/>
  <c r="EA47" i="13"/>
  <c r="EA49" i="13" s="1"/>
  <c r="DY47" i="13"/>
  <c r="DY49" i="13" s="1"/>
  <c r="DW47" i="13"/>
  <c r="DW49" i="13" s="1"/>
  <c r="DM47" i="13"/>
  <c r="DM49" i="13" s="1"/>
  <c r="DL47" i="13"/>
  <c r="DL49" i="13" s="1"/>
  <c r="DK47" i="13"/>
  <c r="DK49" i="13" s="1"/>
  <c r="DJ47" i="13"/>
  <c r="DJ49" i="13" s="1"/>
  <c r="DI47" i="13"/>
  <c r="DI49" i="13" s="1"/>
  <c r="DG47" i="13"/>
  <c r="DG49" i="13" s="1"/>
  <c r="DE47" i="13"/>
  <c r="DE49" i="13" s="1"/>
  <c r="DC47" i="13"/>
  <c r="DC49" i="13" s="1"/>
  <c r="CS47" i="13"/>
  <c r="CS49" i="13" s="1"/>
  <c r="CR47" i="13"/>
  <c r="CR49" i="13" s="1"/>
  <c r="CQ47" i="13"/>
  <c r="CQ49" i="13" s="1"/>
  <c r="CP47" i="13"/>
  <c r="CP49" i="13" s="1"/>
  <c r="CO47" i="13"/>
  <c r="CO49" i="13" s="1"/>
  <c r="CM47" i="13"/>
  <c r="CM49" i="13" s="1"/>
  <c r="CK47" i="13"/>
  <c r="CK49" i="13" s="1"/>
  <c r="CI47" i="13"/>
  <c r="CI49" i="13" s="1"/>
  <c r="BY47" i="13"/>
  <c r="BY49" i="13" s="1"/>
  <c r="BX47" i="13"/>
  <c r="BX49" i="13" s="1"/>
  <c r="BW47" i="13"/>
  <c r="BW49" i="13" s="1"/>
  <c r="BV47" i="13"/>
  <c r="BV49" i="13" s="1"/>
  <c r="BU47" i="13"/>
  <c r="BU49" i="13" s="1"/>
  <c r="BS47" i="13"/>
  <c r="BS49" i="13" s="1"/>
  <c r="BQ47" i="13"/>
  <c r="BQ49" i="13" s="1"/>
  <c r="BO47" i="13"/>
  <c r="BO49" i="13" s="1"/>
  <c r="BE47" i="13"/>
  <c r="BE49" i="13" s="1"/>
  <c r="BD47" i="13"/>
  <c r="BD49" i="13" s="1"/>
  <c r="BC47" i="13"/>
  <c r="BC49" i="13" s="1"/>
  <c r="BB47" i="13"/>
  <c r="BB49" i="13" s="1"/>
  <c r="BA47" i="13"/>
  <c r="BA49" i="13" s="1"/>
  <c r="AY47" i="13"/>
  <c r="AY49" i="13" s="1"/>
  <c r="AW47" i="13"/>
  <c r="AW49" i="13" s="1"/>
  <c r="AU47" i="13"/>
  <c r="AU49" i="13" s="1"/>
  <c r="AK47" i="13"/>
  <c r="AK49" i="13" s="1"/>
  <c r="AJ47" i="13"/>
  <c r="AJ49" i="13" s="1"/>
  <c r="AI47" i="13"/>
  <c r="AI49" i="13" s="1"/>
  <c r="AH47" i="13"/>
  <c r="AH49" i="13" s="1"/>
  <c r="AG47" i="13"/>
  <c r="AG49" i="13" s="1"/>
  <c r="AE47" i="13"/>
  <c r="AE49" i="13" s="1"/>
  <c r="AC47" i="13"/>
  <c r="AC49" i="13" s="1"/>
  <c r="AA47" i="13"/>
  <c r="AA49" i="13" s="1"/>
  <c r="Q47" i="13"/>
  <c r="Q49" i="13" s="1"/>
  <c r="P47" i="13"/>
  <c r="P49" i="13" s="1"/>
  <c r="O47" i="13"/>
  <c r="O49" i="13" s="1"/>
  <c r="N47" i="13"/>
  <c r="N49" i="13" s="1"/>
  <c r="M47" i="13"/>
  <c r="M49" i="13" s="1"/>
  <c r="K47" i="13"/>
  <c r="K49" i="13" s="1"/>
  <c r="I47" i="13"/>
  <c r="I49" i="13" s="1"/>
  <c r="G47" i="13"/>
  <c r="G49" i="13" s="1"/>
  <c r="IE46" i="13"/>
  <c r="ID46" i="13"/>
  <c r="HX46" i="13"/>
  <c r="HV46" i="13"/>
  <c r="HT46" i="13"/>
  <c r="HR46" i="13"/>
  <c r="HQ46" i="13"/>
  <c r="HP46" i="13"/>
  <c r="HO46" i="13"/>
  <c r="HK46" i="13"/>
  <c r="HJ46" i="13"/>
  <c r="HD46" i="13"/>
  <c r="HB46" i="13"/>
  <c r="GZ46" i="13"/>
  <c r="GX46" i="13"/>
  <c r="GW46" i="13"/>
  <c r="GV46" i="13"/>
  <c r="GU46" i="13"/>
  <c r="GQ46" i="13"/>
  <c r="GP46" i="13"/>
  <c r="GJ46" i="13"/>
  <c r="GH46" i="13"/>
  <c r="GF46" i="13"/>
  <c r="GD46" i="13"/>
  <c r="GC46" i="13"/>
  <c r="GB46" i="13"/>
  <c r="GA46" i="13"/>
  <c r="FW46" i="13"/>
  <c r="FV46" i="13"/>
  <c r="FP46" i="13"/>
  <c r="FN46" i="13"/>
  <c r="FL46" i="13"/>
  <c r="FJ46" i="13"/>
  <c r="FI46" i="13"/>
  <c r="FH46" i="13"/>
  <c r="FG46" i="13"/>
  <c r="FC46" i="13"/>
  <c r="FB46" i="13"/>
  <c r="EV46" i="13"/>
  <c r="ET46" i="13"/>
  <c r="ER46" i="13"/>
  <c r="EP46" i="13"/>
  <c r="EO46" i="13"/>
  <c r="EN46" i="13"/>
  <c r="EM46" i="13"/>
  <c r="EI46" i="13"/>
  <c r="EH46" i="13"/>
  <c r="EB46" i="13"/>
  <c r="DZ46" i="13"/>
  <c r="DX46" i="13"/>
  <c r="DV46" i="13"/>
  <c r="DU46" i="13"/>
  <c r="DT46" i="13"/>
  <c r="DS46" i="13"/>
  <c r="DO46" i="13"/>
  <c r="DN46" i="13"/>
  <c r="DH46" i="13"/>
  <c r="DF46" i="13"/>
  <c r="DD46" i="13"/>
  <c r="DB46" i="13"/>
  <c r="DA46" i="13"/>
  <c r="CZ46" i="13"/>
  <c r="CY46" i="13"/>
  <c r="CU46" i="13"/>
  <c r="CT46" i="13"/>
  <c r="CN46" i="13"/>
  <c r="CL46" i="13"/>
  <c r="CJ46" i="13"/>
  <c r="CH46" i="13"/>
  <c r="CG46" i="13"/>
  <c r="CF46" i="13"/>
  <c r="CE46" i="13"/>
  <c r="CA46" i="13"/>
  <c r="BZ46" i="13"/>
  <c r="BT46" i="13"/>
  <c r="BR46" i="13"/>
  <c r="BP46" i="13"/>
  <c r="BN46" i="13"/>
  <c r="BM46" i="13"/>
  <c r="BL46" i="13"/>
  <c r="BK46" i="13"/>
  <c r="BG46" i="13"/>
  <c r="BF46" i="13"/>
  <c r="AZ46" i="13"/>
  <c r="AX46" i="13"/>
  <c r="AV46" i="13"/>
  <c r="AT46" i="13"/>
  <c r="AS46" i="13"/>
  <c r="AR46" i="13"/>
  <c r="AQ46" i="13"/>
  <c r="AM46" i="13"/>
  <c r="AL46" i="13"/>
  <c r="AF46" i="13"/>
  <c r="AD46" i="13"/>
  <c r="AB46" i="13"/>
  <c r="Z46" i="13"/>
  <c r="Y46" i="13"/>
  <c r="X46" i="13"/>
  <c r="W46" i="13"/>
  <c r="S46" i="13"/>
  <c r="R46" i="13"/>
  <c r="L46" i="13"/>
  <c r="J46" i="13"/>
  <c r="H46" i="13"/>
  <c r="F46" i="13"/>
  <c r="E46" i="13"/>
  <c r="D46" i="13"/>
  <c r="C46" i="13"/>
  <c r="IC45" i="13"/>
  <c r="IB45" i="13"/>
  <c r="IA45" i="13"/>
  <c r="HZ45" i="13"/>
  <c r="HY45" i="13"/>
  <c r="HW45" i="13"/>
  <c r="HU45" i="13"/>
  <c r="HS45" i="13"/>
  <c r="HI45" i="13"/>
  <c r="HH45" i="13"/>
  <c r="HG45" i="13"/>
  <c r="HF45" i="13"/>
  <c r="HE45" i="13"/>
  <c r="HC45" i="13"/>
  <c r="HA45" i="13"/>
  <c r="GY45" i="13"/>
  <c r="GO45" i="13"/>
  <c r="GN45" i="13"/>
  <c r="GM45" i="13"/>
  <c r="GL45" i="13"/>
  <c r="GK45" i="13"/>
  <c r="GI45" i="13"/>
  <c r="GG45" i="13"/>
  <c r="FU45" i="13"/>
  <c r="FT45" i="13"/>
  <c r="FS45" i="13"/>
  <c r="FR45" i="13"/>
  <c r="FQ45" i="13"/>
  <c r="FO45" i="13"/>
  <c r="FM45" i="13"/>
  <c r="FK45" i="13"/>
  <c r="FA45" i="13"/>
  <c r="EZ45" i="13"/>
  <c r="EY45" i="13"/>
  <c r="EX45" i="13"/>
  <c r="EW45" i="13"/>
  <c r="EU45" i="13"/>
  <c r="ES45" i="13"/>
  <c r="EQ45" i="13"/>
  <c r="EG45" i="13"/>
  <c r="EF45" i="13"/>
  <c r="EE45" i="13"/>
  <c r="ED45" i="13"/>
  <c r="EC45" i="13"/>
  <c r="EA45" i="13"/>
  <c r="DY45" i="13"/>
  <c r="DW45" i="13"/>
  <c r="DM45" i="13"/>
  <c r="DL45" i="13"/>
  <c r="DK45" i="13"/>
  <c r="DJ45" i="13"/>
  <c r="DI45" i="13"/>
  <c r="DG45" i="13"/>
  <c r="DE45" i="13"/>
  <c r="DC45" i="13"/>
  <c r="CS45" i="13"/>
  <c r="CR45" i="13"/>
  <c r="CQ45" i="13"/>
  <c r="CP45" i="13"/>
  <c r="CO45" i="13"/>
  <c r="CM45" i="13"/>
  <c r="CK45" i="13"/>
  <c r="CI45" i="13"/>
  <c r="BY45" i="13"/>
  <c r="BX45" i="13"/>
  <c r="BW45" i="13"/>
  <c r="BV45" i="13"/>
  <c r="BU45" i="13"/>
  <c r="BS45" i="13"/>
  <c r="BQ45" i="13"/>
  <c r="BO45" i="13"/>
  <c r="BE45" i="13"/>
  <c r="BD45" i="13"/>
  <c r="BC45" i="13"/>
  <c r="BB45" i="13"/>
  <c r="BA45" i="13"/>
  <c r="AY45" i="13"/>
  <c r="AW45" i="13"/>
  <c r="AU45" i="13"/>
  <c r="AK45" i="13"/>
  <c r="AJ45" i="13"/>
  <c r="AI45" i="13"/>
  <c r="AH45" i="13"/>
  <c r="AG45" i="13"/>
  <c r="AE45" i="13"/>
  <c r="AC45" i="13"/>
  <c r="AA45" i="13"/>
  <c r="Q45" i="13"/>
  <c r="P45" i="13"/>
  <c r="O45" i="13"/>
  <c r="N45" i="13"/>
  <c r="M45" i="13"/>
  <c r="K45" i="13"/>
  <c r="I45" i="13"/>
  <c r="G45" i="13"/>
  <c r="IC44" i="13"/>
  <c r="IC46" i="13" s="1"/>
  <c r="IB44" i="13"/>
  <c r="IB46" i="13" s="1"/>
  <c r="IA44" i="13"/>
  <c r="IA46" i="13" s="1"/>
  <c r="HZ44" i="13"/>
  <c r="HZ46" i="13" s="1"/>
  <c r="HY44" i="13"/>
  <c r="HY46" i="13" s="1"/>
  <c r="HW44" i="13"/>
  <c r="HW46" i="13" s="1"/>
  <c r="HU44" i="13"/>
  <c r="HU46" i="13" s="1"/>
  <c r="HS44" i="13"/>
  <c r="HS46" i="13" s="1"/>
  <c r="HI44" i="13"/>
  <c r="HI46" i="13" s="1"/>
  <c r="HH44" i="13"/>
  <c r="HH46" i="13" s="1"/>
  <c r="HG44" i="13"/>
  <c r="HG46" i="13" s="1"/>
  <c r="HF44" i="13"/>
  <c r="HF46" i="13" s="1"/>
  <c r="HE44" i="13"/>
  <c r="HE46" i="13" s="1"/>
  <c r="HC44" i="13"/>
  <c r="HC46" i="13" s="1"/>
  <c r="HA44" i="13"/>
  <c r="HA46" i="13" s="1"/>
  <c r="GY44" i="13"/>
  <c r="GY46" i="13" s="1"/>
  <c r="GO44" i="13"/>
  <c r="GO46" i="13" s="1"/>
  <c r="GN44" i="13"/>
  <c r="GN46" i="13" s="1"/>
  <c r="GM44" i="13"/>
  <c r="GM46" i="13" s="1"/>
  <c r="GL44" i="13"/>
  <c r="GL46" i="13" s="1"/>
  <c r="GK44" i="13"/>
  <c r="GK46" i="13" s="1"/>
  <c r="GI44" i="13"/>
  <c r="GI46" i="13" s="1"/>
  <c r="GG44" i="13"/>
  <c r="GG46" i="13" s="1"/>
  <c r="GE46" i="13"/>
  <c r="FU44" i="13"/>
  <c r="FU46" i="13" s="1"/>
  <c r="FT44" i="13"/>
  <c r="FT46" i="13" s="1"/>
  <c r="FS44" i="13"/>
  <c r="FS46" i="13" s="1"/>
  <c r="FR44" i="13"/>
  <c r="FR46" i="13" s="1"/>
  <c r="FQ44" i="13"/>
  <c r="FQ46" i="13" s="1"/>
  <c r="FO44" i="13"/>
  <c r="FO46" i="13" s="1"/>
  <c r="FM44" i="13"/>
  <c r="FM46" i="13" s="1"/>
  <c r="FK44" i="13"/>
  <c r="FK46" i="13" s="1"/>
  <c r="FA44" i="13"/>
  <c r="FA46" i="13" s="1"/>
  <c r="EZ44" i="13"/>
  <c r="EZ46" i="13" s="1"/>
  <c r="EY44" i="13"/>
  <c r="EY46" i="13" s="1"/>
  <c r="EX44" i="13"/>
  <c r="EX46" i="13" s="1"/>
  <c r="EW44" i="13"/>
  <c r="EW46" i="13" s="1"/>
  <c r="EU44" i="13"/>
  <c r="EU46" i="13" s="1"/>
  <c r="ES44" i="13"/>
  <c r="ES46" i="13" s="1"/>
  <c r="EQ44" i="13"/>
  <c r="EQ46" i="13" s="1"/>
  <c r="EG44" i="13"/>
  <c r="EG46" i="13" s="1"/>
  <c r="EF44" i="13"/>
  <c r="EF46" i="13" s="1"/>
  <c r="EE44" i="13"/>
  <c r="EE46" i="13" s="1"/>
  <c r="ED44" i="13"/>
  <c r="ED46" i="13" s="1"/>
  <c r="EC44" i="13"/>
  <c r="EC46" i="13" s="1"/>
  <c r="EA44" i="13"/>
  <c r="EA46" i="13" s="1"/>
  <c r="DY44" i="13"/>
  <c r="DY46" i="13" s="1"/>
  <c r="DW44" i="13"/>
  <c r="DW46" i="13" s="1"/>
  <c r="DM44" i="13"/>
  <c r="DM46" i="13" s="1"/>
  <c r="DL44" i="13"/>
  <c r="DL46" i="13" s="1"/>
  <c r="DK44" i="13"/>
  <c r="DK46" i="13" s="1"/>
  <c r="DJ44" i="13"/>
  <c r="DJ46" i="13" s="1"/>
  <c r="DI44" i="13"/>
  <c r="DI46" i="13" s="1"/>
  <c r="DG44" i="13"/>
  <c r="DG46" i="13" s="1"/>
  <c r="DE44" i="13"/>
  <c r="DE46" i="13" s="1"/>
  <c r="DC44" i="13"/>
  <c r="DC46" i="13" s="1"/>
  <c r="CS44" i="13"/>
  <c r="CS46" i="13" s="1"/>
  <c r="CR44" i="13"/>
  <c r="CR46" i="13" s="1"/>
  <c r="CQ44" i="13"/>
  <c r="CQ46" i="13" s="1"/>
  <c r="CP44" i="13"/>
  <c r="CP46" i="13" s="1"/>
  <c r="CO44" i="13"/>
  <c r="CO46" i="13" s="1"/>
  <c r="CM44" i="13"/>
  <c r="CM46" i="13" s="1"/>
  <c r="CK44" i="13"/>
  <c r="CK46" i="13" s="1"/>
  <c r="CI44" i="13"/>
  <c r="CI46" i="13" s="1"/>
  <c r="BY44" i="13"/>
  <c r="BY46" i="13" s="1"/>
  <c r="BX44" i="13"/>
  <c r="BX46" i="13" s="1"/>
  <c r="BW44" i="13"/>
  <c r="BW46" i="13" s="1"/>
  <c r="BV44" i="13"/>
  <c r="BV46" i="13" s="1"/>
  <c r="BU44" i="13"/>
  <c r="BU46" i="13" s="1"/>
  <c r="BS44" i="13"/>
  <c r="BS46" i="13" s="1"/>
  <c r="BQ44" i="13"/>
  <c r="BQ46" i="13" s="1"/>
  <c r="BO44" i="13"/>
  <c r="BO46" i="13" s="1"/>
  <c r="BE44" i="13"/>
  <c r="BE46" i="13" s="1"/>
  <c r="BD44" i="13"/>
  <c r="BD46" i="13" s="1"/>
  <c r="BC44" i="13"/>
  <c r="BC46" i="13" s="1"/>
  <c r="BB44" i="13"/>
  <c r="BB46" i="13" s="1"/>
  <c r="BA44" i="13"/>
  <c r="BA46" i="13" s="1"/>
  <c r="AY44" i="13"/>
  <c r="AY46" i="13" s="1"/>
  <c r="AW44" i="13"/>
  <c r="AW46" i="13" s="1"/>
  <c r="AU44" i="13"/>
  <c r="AU46" i="13" s="1"/>
  <c r="AK44" i="13"/>
  <c r="AK46" i="13" s="1"/>
  <c r="AJ44" i="13"/>
  <c r="AJ46" i="13" s="1"/>
  <c r="AI44" i="13"/>
  <c r="AI46" i="13" s="1"/>
  <c r="AH44" i="13"/>
  <c r="AH46" i="13" s="1"/>
  <c r="AG44" i="13"/>
  <c r="AG46" i="13" s="1"/>
  <c r="AE44" i="13"/>
  <c r="AE46" i="13" s="1"/>
  <c r="AC44" i="13"/>
  <c r="AC46" i="13" s="1"/>
  <c r="AA44" i="13"/>
  <c r="AA46" i="13" s="1"/>
  <c r="Q44" i="13"/>
  <c r="Q46" i="13" s="1"/>
  <c r="P44" i="13"/>
  <c r="P46" i="13" s="1"/>
  <c r="O44" i="13"/>
  <c r="O46" i="13" s="1"/>
  <c r="N44" i="13"/>
  <c r="N46" i="13" s="1"/>
  <c r="M44" i="13"/>
  <c r="M46" i="13" s="1"/>
  <c r="K44" i="13"/>
  <c r="K46" i="13" s="1"/>
  <c r="I44" i="13"/>
  <c r="I46" i="13" s="1"/>
  <c r="G44" i="13"/>
  <c r="G46" i="13" s="1"/>
  <c r="IE43" i="13"/>
  <c r="ID43" i="13"/>
  <c r="HX43" i="13"/>
  <c r="HV43" i="13"/>
  <c r="HT43" i="13"/>
  <c r="HR43" i="13"/>
  <c r="HQ43" i="13"/>
  <c r="HP43" i="13"/>
  <c r="HO43" i="13"/>
  <c r="HK43" i="13"/>
  <c r="HJ43" i="13"/>
  <c r="HD43" i="13"/>
  <c r="HB43" i="13"/>
  <c r="GZ43" i="13"/>
  <c r="GX43" i="13"/>
  <c r="GW43" i="13"/>
  <c r="GV43" i="13"/>
  <c r="GU43" i="13"/>
  <c r="GQ43" i="13"/>
  <c r="GP43" i="13"/>
  <c r="GJ43" i="13"/>
  <c r="GH43" i="13"/>
  <c r="GF43" i="13"/>
  <c r="GD43" i="13"/>
  <c r="GC43" i="13"/>
  <c r="GB43" i="13"/>
  <c r="GA43" i="13"/>
  <c r="FW43" i="13"/>
  <c r="FV43" i="13"/>
  <c r="FP43" i="13"/>
  <c r="FN43" i="13"/>
  <c r="FL43" i="13"/>
  <c r="FJ43" i="13"/>
  <c r="FI43" i="13"/>
  <c r="FH43" i="13"/>
  <c r="FG43" i="13"/>
  <c r="FC43" i="13"/>
  <c r="FB43" i="13"/>
  <c r="EV43" i="13"/>
  <c r="ET43" i="13"/>
  <c r="ER43" i="13"/>
  <c r="EP43" i="13"/>
  <c r="EO43" i="13"/>
  <c r="EN43" i="13"/>
  <c r="EM43" i="13"/>
  <c r="EI43" i="13"/>
  <c r="EH43" i="13"/>
  <c r="EB43" i="13"/>
  <c r="DZ43" i="13"/>
  <c r="DX43" i="13"/>
  <c r="DV43" i="13"/>
  <c r="DU43" i="13"/>
  <c r="DT43" i="13"/>
  <c r="DS43" i="13"/>
  <c r="DO43" i="13"/>
  <c r="DN43" i="13"/>
  <c r="DH43" i="13"/>
  <c r="DF43" i="13"/>
  <c r="DD43" i="13"/>
  <c r="DB43" i="13"/>
  <c r="DA43" i="13"/>
  <c r="CZ43" i="13"/>
  <c r="CY43" i="13"/>
  <c r="CU43" i="13"/>
  <c r="CT43" i="13"/>
  <c r="CN43" i="13"/>
  <c r="CL43" i="13"/>
  <c r="CJ43" i="13"/>
  <c r="CH43" i="13"/>
  <c r="CG43" i="13"/>
  <c r="CF43" i="13"/>
  <c r="CE43" i="13"/>
  <c r="CA43" i="13"/>
  <c r="BZ43" i="13"/>
  <c r="BT43" i="13"/>
  <c r="BR43" i="13"/>
  <c r="BP43" i="13"/>
  <c r="BN43" i="13"/>
  <c r="BM43" i="13"/>
  <c r="BL43" i="13"/>
  <c r="BK43" i="13"/>
  <c r="BG43" i="13"/>
  <c r="BF43" i="13"/>
  <c r="AZ43" i="13"/>
  <c r="AX43" i="13"/>
  <c r="AV43" i="13"/>
  <c r="AT43" i="13"/>
  <c r="AS43" i="13"/>
  <c r="AR43" i="13"/>
  <c r="AQ43" i="13"/>
  <c r="AM43" i="13"/>
  <c r="AL43" i="13"/>
  <c r="AF43" i="13"/>
  <c r="AD43" i="13"/>
  <c r="AB43" i="13"/>
  <c r="Z43" i="13"/>
  <c r="Y43" i="13"/>
  <c r="X43" i="13"/>
  <c r="W43" i="13"/>
  <c r="S43" i="13"/>
  <c r="R43" i="13"/>
  <c r="L43" i="13"/>
  <c r="J43" i="13"/>
  <c r="H43" i="13"/>
  <c r="F43" i="13"/>
  <c r="E43" i="13"/>
  <c r="D43" i="13"/>
  <c r="C43" i="13"/>
  <c r="IC42" i="13"/>
  <c r="IB42" i="13"/>
  <c r="IA42" i="13"/>
  <c r="HZ42" i="13"/>
  <c r="HY42" i="13"/>
  <c r="HW42" i="13"/>
  <c r="HU42" i="13"/>
  <c r="HS42" i="13"/>
  <c r="HI42" i="13"/>
  <c r="HH42" i="13"/>
  <c r="HG42" i="13"/>
  <c r="HF42" i="13"/>
  <c r="HE42" i="13"/>
  <c r="HC42" i="13"/>
  <c r="HA42" i="13"/>
  <c r="GY42" i="13"/>
  <c r="GO42" i="13"/>
  <c r="GN42" i="13"/>
  <c r="GM42" i="13"/>
  <c r="GL42" i="13"/>
  <c r="GK42" i="13"/>
  <c r="GI42" i="13"/>
  <c r="GG42" i="13"/>
  <c r="FU42" i="13"/>
  <c r="FT42" i="13"/>
  <c r="FS42" i="13"/>
  <c r="FR42" i="13"/>
  <c r="FQ42" i="13"/>
  <c r="FO42" i="13"/>
  <c r="FM42" i="13"/>
  <c r="FK42" i="13"/>
  <c r="FA42" i="13"/>
  <c r="EZ42" i="13"/>
  <c r="EY42" i="13"/>
  <c r="EX42" i="13"/>
  <c r="EW42" i="13"/>
  <c r="EU42" i="13"/>
  <c r="ES42" i="13"/>
  <c r="EQ42" i="13"/>
  <c r="EG42" i="13"/>
  <c r="EF42" i="13"/>
  <c r="EE42" i="13"/>
  <c r="ED42" i="13"/>
  <c r="EC42" i="13"/>
  <c r="EA42" i="13"/>
  <c r="DY42" i="13"/>
  <c r="DW42" i="13"/>
  <c r="DM42" i="13"/>
  <c r="DL42" i="13"/>
  <c r="DK42" i="13"/>
  <c r="DJ42" i="13"/>
  <c r="DI42" i="13"/>
  <c r="DG42" i="13"/>
  <c r="DE42" i="13"/>
  <c r="DC42" i="13"/>
  <c r="CS42" i="13"/>
  <c r="CR42" i="13"/>
  <c r="CQ42" i="13"/>
  <c r="CP42" i="13"/>
  <c r="CO42" i="13"/>
  <c r="CM42" i="13"/>
  <c r="CK42" i="13"/>
  <c r="CI42" i="13"/>
  <c r="BY42" i="13"/>
  <c r="BX42" i="13"/>
  <c r="BW42" i="13"/>
  <c r="BV42" i="13"/>
  <c r="BU42" i="13"/>
  <c r="BS42" i="13"/>
  <c r="BQ42" i="13"/>
  <c r="BO42" i="13"/>
  <c r="BE42" i="13"/>
  <c r="BD42" i="13"/>
  <c r="BC42" i="13"/>
  <c r="BB42" i="13"/>
  <c r="BA42" i="13"/>
  <c r="AY42" i="13"/>
  <c r="AW42" i="13"/>
  <c r="AU42" i="13"/>
  <c r="AK42" i="13"/>
  <c r="AJ42" i="13"/>
  <c r="AI42" i="13"/>
  <c r="AH42" i="13"/>
  <c r="AG42" i="13"/>
  <c r="AE42" i="13"/>
  <c r="AC42" i="13"/>
  <c r="AA42" i="13"/>
  <c r="Q42" i="13"/>
  <c r="P42" i="13"/>
  <c r="O42" i="13"/>
  <c r="N42" i="13"/>
  <c r="M42" i="13"/>
  <c r="K42" i="13"/>
  <c r="I42" i="13"/>
  <c r="G42" i="13"/>
  <c r="IC41" i="13"/>
  <c r="IC43" i="13" s="1"/>
  <c r="IB41" i="13"/>
  <c r="IB43" i="13" s="1"/>
  <c r="IA41" i="13"/>
  <c r="IA43" i="13" s="1"/>
  <c r="HZ41" i="13"/>
  <c r="HZ43" i="13" s="1"/>
  <c r="HY41" i="13"/>
  <c r="HY43" i="13" s="1"/>
  <c r="HW41" i="13"/>
  <c r="HW43" i="13" s="1"/>
  <c r="HU41" i="13"/>
  <c r="HU43" i="13" s="1"/>
  <c r="HS41" i="13"/>
  <c r="HS43" i="13" s="1"/>
  <c r="HI41" i="13"/>
  <c r="HI43" i="13" s="1"/>
  <c r="HH41" i="13"/>
  <c r="HH43" i="13" s="1"/>
  <c r="HG41" i="13"/>
  <c r="HG43" i="13" s="1"/>
  <c r="HF41" i="13"/>
  <c r="HF43" i="13" s="1"/>
  <c r="HE41" i="13"/>
  <c r="HE43" i="13" s="1"/>
  <c r="HC41" i="13"/>
  <c r="HC43" i="13" s="1"/>
  <c r="HA41" i="13"/>
  <c r="HA43" i="13" s="1"/>
  <c r="GY41" i="13"/>
  <c r="GY43" i="13" s="1"/>
  <c r="GO41" i="13"/>
  <c r="GO43" i="13" s="1"/>
  <c r="GN41" i="13"/>
  <c r="GN43" i="13" s="1"/>
  <c r="GM41" i="13"/>
  <c r="GM43" i="13" s="1"/>
  <c r="GL41" i="13"/>
  <c r="GL43" i="13" s="1"/>
  <c r="GK41" i="13"/>
  <c r="GK43" i="13" s="1"/>
  <c r="GI41" i="13"/>
  <c r="GI43" i="13" s="1"/>
  <c r="GG41" i="13"/>
  <c r="GG43" i="13" s="1"/>
  <c r="GE43" i="13"/>
  <c r="FU41" i="13"/>
  <c r="FU43" i="13" s="1"/>
  <c r="FT41" i="13"/>
  <c r="FT43" i="13" s="1"/>
  <c r="FS41" i="13"/>
  <c r="FS43" i="13" s="1"/>
  <c r="FR41" i="13"/>
  <c r="FR43" i="13" s="1"/>
  <c r="FQ41" i="13"/>
  <c r="FQ43" i="13" s="1"/>
  <c r="FO41" i="13"/>
  <c r="FO43" i="13" s="1"/>
  <c r="FM41" i="13"/>
  <c r="FM43" i="13" s="1"/>
  <c r="FK41" i="13"/>
  <c r="FK43" i="13" s="1"/>
  <c r="FA41" i="13"/>
  <c r="FA43" i="13" s="1"/>
  <c r="EZ41" i="13"/>
  <c r="EZ43" i="13" s="1"/>
  <c r="EY41" i="13"/>
  <c r="EY43" i="13" s="1"/>
  <c r="EX41" i="13"/>
  <c r="EX43" i="13" s="1"/>
  <c r="EW41" i="13"/>
  <c r="EW43" i="13" s="1"/>
  <c r="EU41" i="13"/>
  <c r="EU43" i="13" s="1"/>
  <c r="ES41" i="13"/>
  <c r="ES43" i="13" s="1"/>
  <c r="EQ41" i="13"/>
  <c r="EQ43" i="13" s="1"/>
  <c r="EG41" i="13"/>
  <c r="EG43" i="13" s="1"/>
  <c r="EF41" i="13"/>
  <c r="EF43" i="13" s="1"/>
  <c r="EE41" i="13"/>
  <c r="EE43" i="13" s="1"/>
  <c r="ED41" i="13"/>
  <c r="ED43" i="13" s="1"/>
  <c r="EC41" i="13"/>
  <c r="EC43" i="13" s="1"/>
  <c r="EA41" i="13"/>
  <c r="EA43" i="13" s="1"/>
  <c r="DY41" i="13"/>
  <c r="DY43" i="13" s="1"/>
  <c r="DW41" i="13"/>
  <c r="DW43" i="13" s="1"/>
  <c r="DM41" i="13"/>
  <c r="DM43" i="13" s="1"/>
  <c r="DL41" i="13"/>
  <c r="DL43" i="13" s="1"/>
  <c r="DK41" i="13"/>
  <c r="DK43" i="13" s="1"/>
  <c r="DJ41" i="13"/>
  <c r="DJ43" i="13" s="1"/>
  <c r="DI41" i="13"/>
  <c r="DI43" i="13" s="1"/>
  <c r="DG41" i="13"/>
  <c r="DG43" i="13" s="1"/>
  <c r="DE41" i="13"/>
  <c r="DE43" i="13" s="1"/>
  <c r="DC41" i="13"/>
  <c r="DC43" i="13" s="1"/>
  <c r="CS41" i="13"/>
  <c r="CS43" i="13" s="1"/>
  <c r="CR41" i="13"/>
  <c r="CR43" i="13" s="1"/>
  <c r="CQ41" i="13"/>
  <c r="CQ43" i="13" s="1"/>
  <c r="CP41" i="13"/>
  <c r="CP43" i="13" s="1"/>
  <c r="CO41" i="13"/>
  <c r="CO43" i="13" s="1"/>
  <c r="CM41" i="13"/>
  <c r="CM43" i="13" s="1"/>
  <c r="CK41" i="13"/>
  <c r="CK43" i="13" s="1"/>
  <c r="CI41" i="13"/>
  <c r="CI43" i="13" s="1"/>
  <c r="BY41" i="13"/>
  <c r="BY43" i="13" s="1"/>
  <c r="BX41" i="13"/>
  <c r="BX43" i="13" s="1"/>
  <c r="BW41" i="13"/>
  <c r="BW43" i="13" s="1"/>
  <c r="BV41" i="13"/>
  <c r="BV43" i="13" s="1"/>
  <c r="BU41" i="13"/>
  <c r="BU43" i="13" s="1"/>
  <c r="BS41" i="13"/>
  <c r="BS43" i="13" s="1"/>
  <c r="BQ41" i="13"/>
  <c r="BQ43" i="13" s="1"/>
  <c r="BO41" i="13"/>
  <c r="BO43" i="13" s="1"/>
  <c r="BE41" i="13"/>
  <c r="BE43" i="13" s="1"/>
  <c r="BD41" i="13"/>
  <c r="BD43" i="13" s="1"/>
  <c r="BC41" i="13"/>
  <c r="BC43" i="13" s="1"/>
  <c r="BB41" i="13"/>
  <c r="BB43" i="13" s="1"/>
  <c r="BA41" i="13"/>
  <c r="BA43" i="13" s="1"/>
  <c r="AY41" i="13"/>
  <c r="AY43" i="13" s="1"/>
  <c r="AW41" i="13"/>
  <c r="AW43" i="13" s="1"/>
  <c r="AU41" i="13"/>
  <c r="AU43" i="13" s="1"/>
  <c r="AK41" i="13"/>
  <c r="AK43" i="13" s="1"/>
  <c r="AJ41" i="13"/>
  <c r="AJ43" i="13" s="1"/>
  <c r="AI41" i="13"/>
  <c r="AI43" i="13" s="1"/>
  <c r="AH41" i="13"/>
  <c r="AH43" i="13" s="1"/>
  <c r="AG41" i="13"/>
  <c r="AG43" i="13" s="1"/>
  <c r="AE41" i="13"/>
  <c r="AE43" i="13" s="1"/>
  <c r="AC41" i="13"/>
  <c r="AC43" i="13" s="1"/>
  <c r="AA41" i="13"/>
  <c r="AA43" i="13" s="1"/>
  <c r="Q41" i="13"/>
  <c r="Q43" i="13" s="1"/>
  <c r="P41" i="13"/>
  <c r="P43" i="13" s="1"/>
  <c r="O41" i="13"/>
  <c r="O43" i="13" s="1"/>
  <c r="N41" i="13"/>
  <c r="N43" i="13" s="1"/>
  <c r="M41" i="13"/>
  <c r="M43" i="13" s="1"/>
  <c r="K41" i="13"/>
  <c r="K43" i="13" s="1"/>
  <c r="I41" i="13"/>
  <c r="I43" i="13" s="1"/>
  <c r="G41" i="13"/>
  <c r="G43" i="13" s="1"/>
  <c r="IE40" i="13"/>
  <c r="ID40" i="13"/>
  <c r="HX40" i="13"/>
  <c r="HV40" i="13"/>
  <c r="HT40" i="13"/>
  <c r="HR40" i="13"/>
  <c r="HQ40" i="13"/>
  <c r="HP40" i="13"/>
  <c r="HO40" i="13"/>
  <c r="HK40" i="13"/>
  <c r="HJ40" i="13"/>
  <c r="HD40" i="13"/>
  <c r="HB40" i="13"/>
  <c r="GZ40" i="13"/>
  <c r="GX40" i="13"/>
  <c r="GW40" i="13"/>
  <c r="GV40" i="13"/>
  <c r="GU40" i="13"/>
  <c r="GQ40" i="13"/>
  <c r="GP40" i="13"/>
  <c r="GJ40" i="13"/>
  <c r="GH40" i="13"/>
  <c r="GF40" i="13"/>
  <c r="GD40" i="13"/>
  <c r="GC40" i="13"/>
  <c r="GB40" i="13"/>
  <c r="GA40" i="13"/>
  <c r="FW40" i="13"/>
  <c r="FV40" i="13"/>
  <c r="FP40" i="13"/>
  <c r="FN40" i="13"/>
  <c r="FL40" i="13"/>
  <c r="FJ40" i="13"/>
  <c r="FI40" i="13"/>
  <c r="FH40" i="13"/>
  <c r="FC40" i="13"/>
  <c r="FB40" i="13"/>
  <c r="EV40" i="13"/>
  <c r="ET40" i="13"/>
  <c r="ER40" i="13"/>
  <c r="EP40" i="13"/>
  <c r="EO40" i="13"/>
  <c r="EN40" i="13"/>
  <c r="EI40" i="13"/>
  <c r="EH40" i="13"/>
  <c r="EB40" i="13"/>
  <c r="DZ40" i="13"/>
  <c r="DX40" i="13"/>
  <c r="DV40" i="13"/>
  <c r="DU40" i="13"/>
  <c r="DT40" i="13"/>
  <c r="DS40" i="13"/>
  <c r="DO40" i="13"/>
  <c r="DN40" i="13"/>
  <c r="DH40" i="13"/>
  <c r="DF40" i="13"/>
  <c r="DD40" i="13"/>
  <c r="DB40" i="13"/>
  <c r="DA40" i="13"/>
  <c r="CZ40" i="13"/>
  <c r="CY40" i="13"/>
  <c r="CU40" i="13"/>
  <c r="CT40" i="13"/>
  <c r="CN40" i="13"/>
  <c r="CL40" i="13"/>
  <c r="CJ40" i="13"/>
  <c r="CH40" i="13"/>
  <c r="CG40" i="13"/>
  <c r="CF40" i="13"/>
  <c r="CE40" i="13"/>
  <c r="CA40" i="13"/>
  <c r="BZ40" i="13"/>
  <c r="BT40" i="13"/>
  <c r="BR40" i="13"/>
  <c r="BP40" i="13"/>
  <c r="BN40" i="13"/>
  <c r="BM40" i="13"/>
  <c r="BL40" i="13"/>
  <c r="BG40" i="13"/>
  <c r="BF40" i="13"/>
  <c r="AZ40" i="13"/>
  <c r="AX40" i="13"/>
  <c r="AV40" i="13"/>
  <c r="AT40" i="13"/>
  <c r="AS40" i="13"/>
  <c r="AR40" i="13"/>
  <c r="AQ40" i="13"/>
  <c r="AM40" i="13"/>
  <c r="AL40" i="13"/>
  <c r="AF40" i="13"/>
  <c r="AD40" i="13"/>
  <c r="AB40" i="13"/>
  <c r="Z40" i="13"/>
  <c r="Y40" i="13"/>
  <c r="X40" i="13"/>
  <c r="W40" i="13"/>
  <c r="S40" i="13"/>
  <c r="R40" i="13"/>
  <c r="L40" i="13"/>
  <c r="J40" i="13"/>
  <c r="H40" i="13"/>
  <c r="F40" i="13"/>
  <c r="E40" i="13"/>
  <c r="D40" i="13"/>
  <c r="C40" i="13"/>
  <c r="IC39" i="13"/>
  <c r="IB39" i="13"/>
  <c r="IA39" i="13"/>
  <c r="HZ39" i="13"/>
  <c r="HY39" i="13"/>
  <c r="HW39" i="13"/>
  <c r="HU39" i="13"/>
  <c r="HS39" i="13"/>
  <c r="HI39" i="13"/>
  <c r="HH39" i="13"/>
  <c r="HG39" i="13"/>
  <c r="HF39" i="13"/>
  <c r="HE39" i="13"/>
  <c r="HC39" i="13"/>
  <c r="HA39" i="13"/>
  <c r="GY39" i="13"/>
  <c r="GO39" i="13"/>
  <c r="GN39" i="13"/>
  <c r="GM39" i="13"/>
  <c r="GL39" i="13"/>
  <c r="GK39" i="13"/>
  <c r="GI39" i="13"/>
  <c r="GG39" i="13"/>
  <c r="FU39" i="13"/>
  <c r="FT39" i="13"/>
  <c r="FS39" i="13"/>
  <c r="FO39" i="13"/>
  <c r="FM39" i="13"/>
  <c r="FK39" i="13"/>
  <c r="FG39" i="13"/>
  <c r="FA39" i="13"/>
  <c r="EZ39" i="13"/>
  <c r="EY39" i="13"/>
  <c r="EU39" i="13"/>
  <c r="ES39" i="13"/>
  <c r="EQ39" i="13"/>
  <c r="EM39" i="13"/>
  <c r="EG39" i="13"/>
  <c r="EF39" i="13"/>
  <c r="EE39" i="13"/>
  <c r="ED39" i="13"/>
  <c r="EC39" i="13"/>
  <c r="EA39" i="13"/>
  <c r="DY39" i="13"/>
  <c r="DW39" i="13"/>
  <c r="DM39" i="13"/>
  <c r="DL39" i="13"/>
  <c r="DK39" i="13"/>
  <c r="DJ39" i="13"/>
  <c r="DI39" i="13"/>
  <c r="DG39" i="13"/>
  <c r="DE39" i="13"/>
  <c r="DC39" i="13"/>
  <c r="CS39" i="13"/>
  <c r="CR39" i="13"/>
  <c r="CQ39" i="13"/>
  <c r="CP39" i="13"/>
  <c r="CO39" i="13"/>
  <c r="CM39" i="13"/>
  <c r="CK39" i="13"/>
  <c r="CI39" i="13"/>
  <c r="BY39" i="13"/>
  <c r="BX39" i="13"/>
  <c r="BW39" i="13"/>
  <c r="BS39" i="13"/>
  <c r="BQ39" i="13"/>
  <c r="BO39" i="13"/>
  <c r="BK39" i="13"/>
  <c r="BE39" i="13"/>
  <c r="BD39" i="13"/>
  <c r="BC39" i="13"/>
  <c r="BB39" i="13"/>
  <c r="BA39" i="13"/>
  <c r="AY39" i="13"/>
  <c r="AW39" i="13"/>
  <c r="AU39" i="13"/>
  <c r="AK39" i="13"/>
  <c r="AJ39" i="13"/>
  <c r="AI39" i="13"/>
  <c r="AH39" i="13"/>
  <c r="AG39" i="13"/>
  <c r="AE39" i="13"/>
  <c r="AC39" i="13"/>
  <c r="AA39" i="13"/>
  <c r="Q39" i="13"/>
  <c r="P39" i="13"/>
  <c r="O39" i="13"/>
  <c r="N39" i="13"/>
  <c r="M39" i="13"/>
  <c r="K39" i="13"/>
  <c r="I39" i="13"/>
  <c r="G39" i="13"/>
  <c r="IC38" i="13"/>
  <c r="IC40" i="13" s="1"/>
  <c r="IB38" i="13"/>
  <c r="IB40" i="13" s="1"/>
  <c r="IA38" i="13"/>
  <c r="IA40" i="13" s="1"/>
  <c r="HZ38" i="13"/>
  <c r="HZ40" i="13" s="1"/>
  <c r="HY38" i="13"/>
  <c r="HY40" i="13" s="1"/>
  <c r="HW38" i="13"/>
  <c r="HW40" i="13" s="1"/>
  <c r="HU38" i="13"/>
  <c r="HU40" i="13" s="1"/>
  <c r="HS38" i="13"/>
  <c r="HS40" i="13" s="1"/>
  <c r="HI38" i="13"/>
  <c r="HI40" i="13" s="1"/>
  <c r="HH38" i="13"/>
  <c r="HH40" i="13" s="1"/>
  <c r="HG38" i="13"/>
  <c r="HG40" i="13" s="1"/>
  <c r="HF38" i="13"/>
  <c r="HF40" i="13" s="1"/>
  <c r="HE38" i="13"/>
  <c r="HE40" i="13" s="1"/>
  <c r="HC38" i="13"/>
  <c r="HC40" i="13" s="1"/>
  <c r="HA38" i="13"/>
  <c r="HA40" i="13" s="1"/>
  <c r="GY38" i="13"/>
  <c r="GY40" i="13" s="1"/>
  <c r="GO38" i="13"/>
  <c r="GO40" i="13" s="1"/>
  <c r="GN38" i="13"/>
  <c r="GN40" i="13" s="1"/>
  <c r="GM38" i="13"/>
  <c r="GM40" i="13" s="1"/>
  <c r="GL38" i="13"/>
  <c r="GL40" i="13" s="1"/>
  <c r="GK38" i="13"/>
  <c r="GK40" i="13" s="1"/>
  <c r="GI38" i="13"/>
  <c r="GI40" i="13" s="1"/>
  <c r="GG38" i="13"/>
  <c r="GG40" i="13" s="1"/>
  <c r="GE40" i="13"/>
  <c r="FU38" i="13"/>
  <c r="FU40" i="13" s="1"/>
  <c r="FT38" i="13"/>
  <c r="FT40" i="13" s="1"/>
  <c r="FS38" i="13"/>
  <c r="FS40" i="13" s="1"/>
  <c r="FR38" i="13"/>
  <c r="FQ38" i="13"/>
  <c r="FO38" i="13"/>
  <c r="FO40" i="13" s="1"/>
  <c r="FM38" i="13"/>
  <c r="FM40" i="13" s="1"/>
  <c r="FK38" i="13"/>
  <c r="FK40" i="13" s="1"/>
  <c r="FA38" i="13"/>
  <c r="FA40" i="13" s="1"/>
  <c r="EZ38" i="13"/>
  <c r="EZ40" i="13" s="1"/>
  <c r="EY38" i="13"/>
  <c r="EY40" i="13" s="1"/>
  <c r="EX38" i="13"/>
  <c r="EW38" i="13"/>
  <c r="EU38" i="13"/>
  <c r="EU40" i="13" s="1"/>
  <c r="ES38" i="13"/>
  <c r="ES40" i="13" s="1"/>
  <c r="EQ38" i="13"/>
  <c r="EQ40" i="13" s="1"/>
  <c r="EG38" i="13"/>
  <c r="EG40" i="13" s="1"/>
  <c r="EF38" i="13"/>
  <c r="EF40" i="13" s="1"/>
  <c r="EE38" i="13"/>
  <c r="EE40" i="13" s="1"/>
  <c r="ED38" i="13"/>
  <c r="ED40" i="13" s="1"/>
  <c r="EC38" i="13"/>
  <c r="EC40" i="13" s="1"/>
  <c r="EA38" i="13"/>
  <c r="EA40" i="13" s="1"/>
  <c r="DY38" i="13"/>
  <c r="DY40" i="13" s="1"/>
  <c r="DW38" i="13"/>
  <c r="DW40" i="13" s="1"/>
  <c r="DM38" i="13"/>
  <c r="DM40" i="13" s="1"/>
  <c r="DL38" i="13"/>
  <c r="DL40" i="13" s="1"/>
  <c r="DK38" i="13"/>
  <c r="DK40" i="13" s="1"/>
  <c r="DJ38" i="13"/>
  <c r="DJ40" i="13" s="1"/>
  <c r="DI38" i="13"/>
  <c r="DI40" i="13" s="1"/>
  <c r="DG38" i="13"/>
  <c r="DG40" i="13" s="1"/>
  <c r="DE38" i="13"/>
  <c r="DE40" i="13" s="1"/>
  <c r="DC38" i="13"/>
  <c r="DC40" i="13" s="1"/>
  <c r="CS38" i="13"/>
  <c r="CS40" i="13" s="1"/>
  <c r="CR38" i="13"/>
  <c r="CR40" i="13" s="1"/>
  <c r="CQ38" i="13"/>
  <c r="CQ40" i="13" s="1"/>
  <c r="CP38" i="13"/>
  <c r="CP40" i="13" s="1"/>
  <c r="CO38" i="13"/>
  <c r="CO40" i="13" s="1"/>
  <c r="CM38" i="13"/>
  <c r="CM40" i="13" s="1"/>
  <c r="CK38" i="13"/>
  <c r="CK40" i="13" s="1"/>
  <c r="CI38" i="13"/>
  <c r="CI40" i="13" s="1"/>
  <c r="BY38" i="13"/>
  <c r="BY40" i="13" s="1"/>
  <c r="BX38" i="13"/>
  <c r="BX40" i="13" s="1"/>
  <c r="BW38" i="13"/>
  <c r="BW40" i="13" s="1"/>
  <c r="BV38" i="13"/>
  <c r="BU38" i="13"/>
  <c r="BS38" i="13"/>
  <c r="BS40" i="13" s="1"/>
  <c r="BQ38" i="13"/>
  <c r="BQ40" i="13" s="1"/>
  <c r="BO38" i="13"/>
  <c r="BO40" i="13" s="1"/>
  <c r="BE38" i="13"/>
  <c r="BE40" i="13" s="1"/>
  <c r="BD38" i="13"/>
  <c r="BD40" i="13" s="1"/>
  <c r="BC38" i="13"/>
  <c r="BC40" i="13" s="1"/>
  <c r="BB38" i="13"/>
  <c r="BB40" i="13" s="1"/>
  <c r="BA38" i="13"/>
  <c r="BA40" i="13" s="1"/>
  <c r="AY38" i="13"/>
  <c r="AY40" i="13" s="1"/>
  <c r="AW38" i="13"/>
  <c r="AW40" i="13" s="1"/>
  <c r="AU38" i="13"/>
  <c r="AU40" i="13" s="1"/>
  <c r="AK38" i="13"/>
  <c r="AK40" i="13" s="1"/>
  <c r="AJ38" i="13"/>
  <c r="AJ40" i="13" s="1"/>
  <c r="AI38" i="13"/>
  <c r="AI40" i="13" s="1"/>
  <c r="AH38" i="13"/>
  <c r="AH40" i="13" s="1"/>
  <c r="AG38" i="13"/>
  <c r="AG40" i="13" s="1"/>
  <c r="AE38" i="13"/>
  <c r="AE40" i="13" s="1"/>
  <c r="AC38" i="13"/>
  <c r="AC40" i="13" s="1"/>
  <c r="AA38" i="13"/>
  <c r="AA40" i="13" s="1"/>
  <c r="Q38" i="13"/>
  <c r="Q40" i="13" s="1"/>
  <c r="P38" i="13"/>
  <c r="P40" i="13" s="1"/>
  <c r="O38" i="13"/>
  <c r="O40" i="13" s="1"/>
  <c r="N38" i="13"/>
  <c r="N40" i="13" s="1"/>
  <c r="M38" i="13"/>
  <c r="M40" i="13" s="1"/>
  <c r="K38" i="13"/>
  <c r="K40" i="13" s="1"/>
  <c r="I38" i="13"/>
  <c r="I40" i="13" s="1"/>
  <c r="G38" i="13"/>
  <c r="G40" i="13" s="1"/>
  <c r="IE37" i="13"/>
  <c r="ID37" i="13"/>
  <c r="HX37" i="13"/>
  <c r="HV37" i="13"/>
  <c r="HT37" i="13"/>
  <c r="HR37" i="13"/>
  <c r="HQ37" i="13"/>
  <c r="HP37" i="13"/>
  <c r="HO37" i="13"/>
  <c r="HK37" i="13"/>
  <c r="HJ37" i="13"/>
  <c r="HD37" i="13"/>
  <c r="HB37" i="13"/>
  <c r="GZ37" i="13"/>
  <c r="GX37" i="13"/>
  <c r="GW37" i="13"/>
  <c r="GV37" i="13"/>
  <c r="GU37" i="13"/>
  <c r="GQ37" i="13"/>
  <c r="GP37" i="13"/>
  <c r="GJ37" i="13"/>
  <c r="GH37" i="13"/>
  <c r="GF37" i="13"/>
  <c r="GD37" i="13"/>
  <c r="GC37" i="13"/>
  <c r="GB37" i="13"/>
  <c r="GA37" i="13"/>
  <c r="FW37" i="13"/>
  <c r="FV37" i="13"/>
  <c r="FP37" i="13"/>
  <c r="FN37" i="13"/>
  <c r="FL37" i="13"/>
  <c r="FJ37" i="13"/>
  <c r="FI37" i="13"/>
  <c r="FH37" i="13"/>
  <c r="FG37" i="13"/>
  <c r="FC37" i="13"/>
  <c r="FB37" i="13"/>
  <c r="EV37" i="13"/>
  <c r="ET37" i="13"/>
  <c r="ER37" i="13"/>
  <c r="EP37" i="13"/>
  <c r="EO37" i="13"/>
  <c r="EN37" i="13"/>
  <c r="EM37" i="13"/>
  <c r="EI37" i="13"/>
  <c r="EH37" i="13"/>
  <c r="EB37" i="13"/>
  <c r="DZ37" i="13"/>
  <c r="DX37" i="13"/>
  <c r="DV37" i="13"/>
  <c r="DU37" i="13"/>
  <c r="DT37" i="13"/>
  <c r="DS37" i="13"/>
  <c r="DO37" i="13"/>
  <c r="DN37" i="13"/>
  <c r="DH37" i="13"/>
  <c r="DF37" i="13"/>
  <c r="DD37" i="13"/>
  <c r="DB37" i="13"/>
  <c r="DA37" i="13"/>
  <c r="CZ37" i="13"/>
  <c r="CY37" i="13"/>
  <c r="CU37" i="13"/>
  <c r="CT37" i="13"/>
  <c r="CN37" i="13"/>
  <c r="CL37" i="13"/>
  <c r="CJ37" i="13"/>
  <c r="CH37" i="13"/>
  <c r="CG37" i="13"/>
  <c r="CF37" i="13"/>
  <c r="CE37" i="13"/>
  <c r="CA37" i="13"/>
  <c r="BZ37" i="13"/>
  <c r="BT37" i="13"/>
  <c r="BR37" i="13"/>
  <c r="BP37" i="13"/>
  <c r="BN37" i="13"/>
  <c r="BM37" i="13"/>
  <c r="BL37" i="13"/>
  <c r="BK37" i="13"/>
  <c r="BG37" i="13"/>
  <c r="BF37" i="13"/>
  <c r="AZ37" i="13"/>
  <c r="AX37" i="13"/>
  <c r="AV37" i="13"/>
  <c r="AT37" i="13"/>
  <c r="AS37" i="13"/>
  <c r="AR37" i="13"/>
  <c r="AQ37" i="13"/>
  <c r="AM37" i="13"/>
  <c r="AL37" i="13"/>
  <c r="AF37" i="13"/>
  <c r="AD37" i="13"/>
  <c r="AB37" i="13"/>
  <c r="Z37" i="13"/>
  <c r="Y37" i="13"/>
  <c r="X37" i="13"/>
  <c r="W37" i="13"/>
  <c r="S37" i="13"/>
  <c r="R37" i="13"/>
  <c r="L37" i="13"/>
  <c r="J37" i="13"/>
  <c r="H37" i="13"/>
  <c r="F37" i="13"/>
  <c r="E37" i="13"/>
  <c r="D37" i="13"/>
  <c r="C37" i="13"/>
  <c r="IC36" i="13"/>
  <c r="IB36" i="13"/>
  <c r="IA36" i="13"/>
  <c r="HZ36" i="13"/>
  <c r="HY36" i="13"/>
  <c r="HW36" i="13"/>
  <c r="HU36" i="13"/>
  <c r="HS36" i="13"/>
  <c r="HI36" i="13"/>
  <c r="HH36" i="13"/>
  <c r="HG36" i="13"/>
  <c r="HF36" i="13"/>
  <c r="HE36" i="13"/>
  <c r="HC36" i="13"/>
  <c r="HA36" i="13"/>
  <c r="GY36" i="13"/>
  <c r="GO36" i="13"/>
  <c r="GN36" i="13"/>
  <c r="GM36" i="13"/>
  <c r="GL36" i="13"/>
  <c r="GK36" i="13"/>
  <c r="GI36" i="13"/>
  <c r="GG36" i="13"/>
  <c r="FU36" i="13"/>
  <c r="FT36" i="13"/>
  <c r="FS36" i="13"/>
  <c r="FR36" i="13"/>
  <c r="FQ36" i="13"/>
  <c r="FO36" i="13"/>
  <c r="FM36" i="13"/>
  <c r="FK36" i="13"/>
  <c r="FA36" i="13"/>
  <c r="EZ36" i="13"/>
  <c r="EY36" i="13"/>
  <c r="EX36" i="13"/>
  <c r="EW36" i="13"/>
  <c r="EU36" i="13"/>
  <c r="ES36" i="13"/>
  <c r="EQ36" i="13"/>
  <c r="EG36" i="13"/>
  <c r="EF36" i="13"/>
  <c r="EE36" i="13"/>
  <c r="ED36" i="13"/>
  <c r="EC36" i="13"/>
  <c r="EA36" i="13"/>
  <c r="DY36" i="13"/>
  <c r="DW36" i="13"/>
  <c r="DM36" i="13"/>
  <c r="DL36" i="13"/>
  <c r="DK36" i="13"/>
  <c r="DJ36" i="13"/>
  <c r="DI36" i="13"/>
  <c r="DG36" i="13"/>
  <c r="DE36" i="13"/>
  <c r="DC36" i="13"/>
  <c r="CS36" i="13"/>
  <c r="CR36" i="13"/>
  <c r="CQ36" i="13"/>
  <c r="CP36" i="13"/>
  <c r="CO36" i="13"/>
  <c r="CM36" i="13"/>
  <c r="CK36" i="13"/>
  <c r="CI36" i="13"/>
  <c r="BY36" i="13"/>
  <c r="BX36" i="13"/>
  <c r="BW36" i="13"/>
  <c r="BV36" i="13"/>
  <c r="BU36" i="13"/>
  <c r="BS36" i="13"/>
  <c r="BQ36" i="13"/>
  <c r="BO36" i="13"/>
  <c r="BE36" i="13"/>
  <c r="BD36" i="13"/>
  <c r="BC36" i="13"/>
  <c r="BB36" i="13"/>
  <c r="BA36" i="13"/>
  <c r="AY36" i="13"/>
  <c r="AW36" i="13"/>
  <c r="AU36" i="13"/>
  <c r="AK36" i="13"/>
  <c r="AJ36" i="13"/>
  <c r="AI36" i="13"/>
  <c r="AH36" i="13"/>
  <c r="AG36" i="13"/>
  <c r="AE36" i="13"/>
  <c r="AC36" i="13"/>
  <c r="AA36" i="13"/>
  <c r="Q36" i="13"/>
  <c r="P36" i="13"/>
  <c r="O36" i="13"/>
  <c r="N36" i="13"/>
  <c r="M36" i="13"/>
  <c r="K36" i="13"/>
  <c r="I36" i="13"/>
  <c r="G36" i="13"/>
  <c r="IC35" i="13"/>
  <c r="IB35" i="13"/>
  <c r="IA35" i="13"/>
  <c r="HZ35" i="13"/>
  <c r="HY35" i="13"/>
  <c r="HW35" i="13"/>
  <c r="HU35" i="13"/>
  <c r="HS35" i="13"/>
  <c r="HI35" i="13"/>
  <c r="HH35" i="13"/>
  <c r="HG35" i="13"/>
  <c r="HF35" i="13"/>
  <c r="HE35" i="13"/>
  <c r="HC35" i="13"/>
  <c r="HC37" i="13" s="1"/>
  <c r="HA35" i="13"/>
  <c r="HA37" i="13" s="1"/>
  <c r="GY35" i="13"/>
  <c r="GO35" i="13"/>
  <c r="GN35" i="13"/>
  <c r="GM35" i="13"/>
  <c r="GL35" i="13"/>
  <c r="GK35" i="13"/>
  <c r="GI35" i="13"/>
  <c r="GG35" i="13"/>
  <c r="GG37" i="13" s="1"/>
  <c r="FU35" i="13"/>
  <c r="FT35" i="13"/>
  <c r="FS35" i="13"/>
  <c r="FR35" i="13"/>
  <c r="FQ35" i="13"/>
  <c r="FO35" i="13"/>
  <c r="FM35" i="13"/>
  <c r="FM37" i="13" s="1"/>
  <c r="FK35" i="13"/>
  <c r="FA35" i="13"/>
  <c r="EZ35" i="13"/>
  <c r="EY35" i="13"/>
  <c r="EX35" i="13"/>
  <c r="EW35" i="13"/>
  <c r="EU35" i="13"/>
  <c r="ES35" i="13"/>
  <c r="ES37" i="13" s="1"/>
  <c r="EQ35" i="13"/>
  <c r="EG35" i="13"/>
  <c r="EF35" i="13"/>
  <c r="EE35" i="13"/>
  <c r="ED35" i="13"/>
  <c r="EC35" i="13"/>
  <c r="EA35" i="13"/>
  <c r="DY35" i="13"/>
  <c r="DY37" i="13" s="1"/>
  <c r="DW35" i="13"/>
  <c r="DM35" i="13"/>
  <c r="DL35" i="13"/>
  <c r="DK35" i="13"/>
  <c r="DJ35" i="13"/>
  <c r="DI35" i="13"/>
  <c r="DG35" i="13"/>
  <c r="DE35" i="13"/>
  <c r="DE37" i="13" s="1"/>
  <c r="DC35" i="13"/>
  <c r="CS35" i="13"/>
  <c r="CR35" i="13"/>
  <c r="CQ35" i="13"/>
  <c r="CP35" i="13"/>
  <c r="CO35" i="13"/>
  <c r="CM35" i="13"/>
  <c r="CK35" i="13"/>
  <c r="CK37" i="13" s="1"/>
  <c r="CI35" i="13"/>
  <c r="BY35" i="13"/>
  <c r="BX35" i="13"/>
  <c r="BW35" i="13"/>
  <c r="BV35" i="13"/>
  <c r="BU35" i="13"/>
  <c r="BS35" i="13"/>
  <c r="BQ35" i="13"/>
  <c r="BO35" i="13"/>
  <c r="BE35" i="13"/>
  <c r="BD35" i="13"/>
  <c r="BC35" i="13"/>
  <c r="BB35" i="13"/>
  <c r="BA35" i="13"/>
  <c r="AY35" i="13"/>
  <c r="AW35" i="13"/>
  <c r="AW37" i="13" s="1"/>
  <c r="AU35" i="13"/>
  <c r="AK35" i="13"/>
  <c r="AJ35" i="13"/>
  <c r="AI35" i="13"/>
  <c r="AH35" i="13"/>
  <c r="AG35" i="13"/>
  <c r="AE35" i="13"/>
  <c r="AC35" i="13"/>
  <c r="AA35" i="13"/>
  <c r="Q35" i="13"/>
  <c r="P35" i="13"/>
  <c r="O35" i="13"/>
  <c r="N35" i="13"/>
  <c r="M35" i="13"/>
  <c r="K35" i="13"/>
  <c r="I35" i="13"/>
  <c r="G35" i="13"/>
  <c r="IC34" i="13"/>
  <c r="IC37" i="13" s="1"/>
  <c r="IB34" i="13"/>
  <c r="IB37" i="13" s="1"/>
  <c r="IA34" i="13"/>
  <c r="IA37" i="13" s="1"/>
  <c r="HZ34" i="13"/>
  <c r="HZ37" i="13" s="1"/>
  <c r="HY34" i="13"/>
  <c r="HY37" i="13" s="1"/>
  <c r="HW34" i="13"/>
  <c r="HW37" i="13" s="1"/>
  <c r="HU34" i="13"/>
  <c r="HU37" i="13" s="1"/>
  <c r="HS34" i="13"/>
  <c r="HS37" i="13" s="1"/>
  <c r="HI34" i="13"/>
  <c r="HI37" i="13" s="1"/>
  <c r="HH34" i="13"/>
  <c r="HH37" i="13" s="1"/>
  <c r="HG34" i="13"/>
  <c r="HG37" i="13" s="1"/>
  <c r="HF34" i="13"/>
  <c r="HF37" i="13" s="1"/>
  <c r="HE34" i="13"/>
  <c r="HE37" i="13" s="1"/>
  <c r="HC34" i="13"/>
  <c r="HA34" i="13"/>
  <c r="GY34" i="13"/>
  <c r="GY37" i="13" s="1"/>
  <c r="GO34" i="13"/>
  <c r="GO37" i="13" s="1"/>
  <c r="GN34" i="13"/>
  <c r="GN37" i="13" s="1"/>
  <c r="GM34" i="13"/>
  <c r="GM37" i="13" s="1"/>
  <c r="GL34" i="13"/>
  <c r="GL37" i="13" s="1"/>
  <c r="GK34" i="13"/>
  <c r="GK37" i="13" s="1"/>
  <c r="GI34" i="13"/>
  <c r="GI37" i="13" s="1"/>
  <c r="GG34" i="13"/>
  <c r="GE37" i="13"/>
  <c r="FU34" i="13"/>
  <c r="FU37" i="13" s="1"/>
  <c r="FT34" i="13"/>
  <c r="FT37" i="13" s="1"/>
  <c r="FS34" i="13"/>
  <c r="FS37" i="13" s="1"/>
  <c r="FR34" i="13"/>
  <c r="FR37" i="13" s="1"/>
  <c r="FQ34" i="13"/>
  <c r="FQ37" i="13" s="1"/>
  <c r="FO34" i="13"/>
  <c r="FO37" i="13" s="1"/>
  <c r="FM34" i="13"/>
  <c r="FK34" i="13"/>
  <c r="FK37" i="13" s="1"/>
  <c r="FA34" i="13"/>
  <c r="FA37" i="13" s="1"/>
  <c r="EZ34" i="13"/>
  <c r="EZ37" i="13" s="1"/>
  <c r="EY34" i="13"/>
  <c r="EY37" i="13" s="1"/>
  <c r="EX34" i="13"/>
  <c r="EX37" i="13" s="1"/>
  <c r="EW34" i="13"/>
  <c r="EW37" i="13" s="1"/>
  <c r="EU34" i="13"/>
  <c r="EU37" i="13" s="1"/>
  <c r="ES34" i="13"/>
  <c r="EQ34" i="13"/>
  <c r="EQ37" i="13" s="1"/>
  <c r="EG34" i="13"/>
  <c r="EG37" i="13" s="1"/>
  <c r="EF34" i="13"/>
  <c r="EF37" i="13" s="1"/>
  <c r="EE34" i="13"/>
  <c r="EE37" i="13" s="1"/>
  <c r="ED34" i="13"/>
  <c r="ED37" i="13" s="1"/>
  <c r="EC34" i="13"/>
  <c r="EC37" i="13" s="1"/>
  <c r="EA34" i="13"/>
  <c r="EA37" i="13" s="1"/>
  <c r="DY34" i="13"/>
  <c r="DW34" i="13"/>
  <c r="DW37" i="13" s="1"/>
  <c r="DM34" i="13"/>
  <c r="DM37" i="13" s="1"/>
  <c r="DL34" i="13"/>
  <c r="DL37" i="13" s="1"/>
  <c r="DK34" i="13"/>
  <c r="DK37" i="13" s="1"/>
  <c r="DJ34" i="13"/>
  <c r="DJ37" i="13" s="1"/>
  <c r="DI34" i="13"/>
  <c r="DI37" i="13" s="1"/>
  <c r="DG34" i="13"/>
  <c r="DG37" i="13" s="1"/>
  <c r="DE34" i="13"/>
  <c r="DC34" i="13"/>
  <c r="DC37" i="13" s="1"/>
  <c r="CS34" i="13"/>
  <c r="CS37" i="13" s="1"/>
  <c r="CR34" i="13"/>
  <c r="CR37" i="13" s="1"/>
  <c r="CQ34" i="13"/>
  <c r="CQ37" i="13" s="1"/>
  <c r="CP34" i="13"/>
  <c r="CP37" i="13" s="1"/>
  <c r="CO34" i="13"/>
  <c r="CO37" i="13" s="1"/>
  <c r="CM34" i="13"/>
  <c r="CM37" i="13" s="1"/>
  <c r="CK34" i="13"/>
  <c r="CI34" i="13"/>
  <c r="CI37" i="13" s="1"/>
  <c r="BY34" i="13"/>
  <c r="BY37" i="13" s="1"/>
  <c r="BX34" i="13"/>
  <c r="BX37" i="13" s="1"/>
  <c r="BW34" i="13"/>
  <c r="BW37" i="13" s="1"/>
  <c r="BV34" i="13"/>
  <c r="BV37" i="13" s="1"/>
  <c r="BU34" i="13"/>
  <c r="BU37" i="13" s="1"/>
  <c r="BS34" i="13"/>
  <c r="BS37" i="13" s="1"/>
  <c r="BQ34" i="13"/>
  <c r="BQ37" i="13" s="1"/>
  <c r="BO34" i="13"/>
  <c r="BO37" i="13" s="1"/>
  <c r="BE34" i="13"/>
  <c r="BE37" i="13" s="1"/>
  <c r="BD34" i="13"/>
  <c r="BD37" i="13" s="1"/>
  <c r="BC34" i="13"/>
  <c r="BC37" i="13" s="1"/>
  <c r="BB34" i="13"/>
  <c r="BB37" i="13" s="1"/>
  <c r="BA34" i="13"/>
  <c r="BA37" i="13" s="1"/>
  <c r="AY34" i="13"/>
  <c r="AY37" i="13" s="1"/>
  <c r="AW34" i="13"/>
  <c r="AU34" i="13"/>
  <c r="AU37" i="13" s="1"/>
  <c r="AK34" i="13"/>
  <c r="AK37" i="13" s="1"/>
  <c r="AJ34" i="13"/>
  <c r="AJ37" i="13" s="1"/>
  <c r="AI34" i="13"/>
  <c r="AI37" i="13" s="1"/>
  <c r="AH34" i="13"/>
  <c r="AH37" i="13" s="1"/>
  <c r="AG34" i="13"/>
  <c r="AG37" i="13" s="1"/>
  <c r="AE34" i="13"/>
  <c r="AE37" i="13" s="1"/>
  <c r="AC34" i="13"/>
  <c r="AC37" i="13" s="1"/>
  <c r="AA34" i="13"/>
  <c r="AA37" i="13" s="1"/>
  <c r="Q34" i="13"/>
  <c r="Q37" i="13" s="1"/>
  <c r="P34" i="13"/>
  <c r="P37" i="13" s="1"/>
  <c r="O34" i="13"/>
  <c r="O37" i="13" s="1"/>
  <c r="N34" i="13"/>
  <c r="N37" i="13" s="1"/>
  <c r="M34" i="13"/>
  <c r="M37" i="13" s="1"/>
  <c r="K34" i="13"/>
  <c r="K37" i="13" s="1"/>
  <c r="I34" i="13"/>
  <c r="I37" i="13" s="1"/>
  <c r="G34" i="13"/>
  <c r="G37" i="13" s="1"/>
  <c r="IE33" i="13"/>
  <c r="ID33" i="13"/>
  <c r="HX33" i="13"/>
  <c r="HV33" i="13"/>
  <c r="HT33" i="13"/>
  <c r="HR33" i="13"/>
  <c r="HQ33" i="13"/>
  <c r="HP33" i="13"/>
  <c r="HO33" i="13"/>
  <c r="HK33" i="13"/>
  <c r="HJ33" i="13"/>
  <c r="HD33" i="13"/>
  <c r="HB33" i="13"/>
  <c r="GZ33" i="13"/>
  <c r="GX33" i="13"/>
  <c r="GW33" i="13"/>
  <c r="GV33" i="13"/>
  <c r="GU33" i="13"/>
  <c r="GQ33" i="13"/>
  <c r="GP33" i="13"/>
  <c r="GJ33" i="13"/>
  <c r="GH33" i="13"/>
  <c r="GF33" i="13"/>
  <c r="GD33" i="13"/>
  <c r="GC33" i="13"/>
  <c r="GB33" i="13"/>
  <c r="GA33" i="13"/>
  <c r="FW33" i="13"/>
  <c r="FV33" i="13"/>
  <c r="FP33" i="13"/>
  <c r="FN33" i="13"/>
  <c r="FL33" i="13"/>
  <c r="FJ33" i="13"/>
  <c r="FI33" i="13"/>
  <c r="FH33" i="13"/>
  <c r="FG33" i="13"/>
  <c r="FC33" i="13"/>
  <c r="FB33" i="13"/>
  <c r="EV33" i="13"/>
  <c r="ET33" i="13"/>
  <c r="ER33" i="13"/>
  <c r="EP33" i="13"/>
  <c r="EO33" i="13"/>
  <c r="EN33" i="13"/>
  <c r="EM33" i="13"/>
  <c r="EI33" i="13"/>
  <c r="EH33" i="13"/>
  <c r="EB33" i="13"/>
  <c r="DZ33" i="13"/>
  <c r="DX33" i="13"/>
  <c r="DV33" i="13"/>
  <c r="DU33" i="13"/>
  <c r="DT33" i="13"/>
  <c r="DS33" i="13"/>
  <c r="DO33" i="13"/>
  <c r="DN33" i="13"/>
  <c r="DH33" i="13"/>
  <c r="DF33" i="13"/>
  <c r="DD33" i="13"/>
  <c r="DB33" i="13"/>
  <c r="DA33" i="13"/>
  <c r="CZ33" i="13"/>
  <c r="CY33" i="13"/>
  <c r="CU33" i="13"/>
  <c r="CT33" i="13"/>
  <c r="CN33" i="13"/>
  <c r="CL33" i="13"/>
  <c r="CJ33" i="13"/>
  <c r="CH33" i="13"/>
  <c r="CG33" i="13"/>
  <c r="CF33" i="13"/>
  <c r="CE33" i="13"/>
  <c r="CA33" i="13"/>
  <c r="BZ33" i="13"/>
  <c r="BT33" i="13"/>
  <c r="BR33" i="13"/>
  <c r="BP33" i="13"/>
  <c r="BN33" i="13"/>
  <c r="BM33" i="13"/>
  <c r="BL33" i="13"/>
  <c r="BK33" i="13"/>
  <c r="BG33" i="13"/>
  <c r="BF33" i="13"/>
  <c r="AZ33" i="13"/>
  <c r="AX33" i="13"/>
  <c r="AV33" i="13"/>
  <c r="AT33" i="13"/>
  <c r="AS33" i="13"/>
  <c r="AR33" i="13"/>
  <c r="AQ33" i="13"/>
  <c r="AM33" i="13"/>
  <c r="AL33" i="13"/>
  <c r="AF33" i="13"/>
  <c r="AD33" i="13"/>
  <c r="AB33" i="13"/>
  <c r="Z33" i="13"/>
  <c r="Y33" i="13"/>
  <c r="X33" i="13"/>
  <c r="S33" i="13"/>
  <c r="R33" i="13"/>
  <c r="L33" i="13"/>
  <c r="J33" i="13"/>
  <c r="H33" i="13"/>
  <c r="F33" i="13"/>
  <c r="E33" i="13"/>
  <c r="D33" i="13"/>
  <c r="C33" i="13"/>
  <c r="IC32" i="13"/>
  <c r="IB32" i="13"/>
  <c r="IA32" i="13"/>
  <c r="HZ32" i="13"/>
  <c r="HY32" i="13"/>
  <c r="HW32" i="13"/>
  <c r="HU32" i="13"/>
  <c r="HS32" i="13"/>
  <c r="HI32" i="13"/>
  <c r="HH32" i="13"/>
  <c r="HG32" i="13"/>
  <c r="HF32" i="13"/>
  <c r="HE32" i="13"/>
  <c r="HC32" i="13"/>
  <c r="HA32" i="13"/>
  <c r="GY32" i="13"/>
  <c r="GO32" i="13"/>
  <c r="GN32" i="13"/>
  <c r="GM32" i="13"/>
  <c r="GL32" i="13"/>
  <c r="GK32" i="13"/>
  <c r="GI32" i="13"/>
  <c r="GG32" i="13"/>
  <c r="FU32" i="13"/>
  <c r="FT32" i="13"/>
  <c r="FS32" i="13"/>
  <c r="FR32" i="13"/>
  <c r="FQ32" i="13"/>
  <c r="FO32" i="13"/>
  <c r="FM32" i="13"/>
  <c r="FK32" i="13"/>
  <c r="FA32" i="13"/>
  <c r="EZ32" i="13"/>
  <c r="EY32" i="13"/>
  <c r="EX32" i="13"/>
  <c r="EW32" i="13"/>
  <c r="EU32" i="13"/>
  <c r="ES32" i="13"/>
  <c r="EQ32" i="13"/>
  <c r="EG32" i="13"/>
  <c r="EF32" i="13"/>
  <c r="EE32" i="13"/>
  <c r="ED32" i="13"/>
  <c r="EC32" i="13"/>
  <c r="EA32" i="13"/>
  <c r="DY32" i="13"/>
  <c r="DW32" i="13"/>
  <c r="DM32" i="13"/>
  <c r="DL32" i="13"/>
  <c r="DK32" i="13"/>
  <c r="DJ32" i="13"/>
  <c r="DI32" i="13"/>
  <c r="DG32" i="13"/>
  <c r="DE32" i="13"/>
  <c r="DC32" i="13"/>
  <c r="CS32" i="13"/>
  <c r="CR32" i="13"/>
  <c r="CQ32" i="13"/>
  <c r="CP32" i="13"/>
  <c r="CO32" i="13"/>
  <c r="CM32" i="13"/>
  <c r="CK32" i="13"/>
  <c r="CI32" i="13"/>
  <c r="BY32" i="13"/>
  <c r="BX32" i="13"/>
  <c r="BW32" i="13"/>
  <c r="BV32" i="13"/>
  <c r="BU32" i="13"/>
  <c r="BS32" i="13"/>
  <c r="BQ32" i="13"/>
  <c r="BO32" i="13"/>
  <c r="BE32" i="13"/>
  <c r="BD32" i="13"/>
  <c r="BC32" i="13"/>
  <c r="BB32" i="13"/>
  <c r="BA32" i="13"/>
  <c r="AY32" i="13"/>
  <c r="AW32" i="13"/>
  <c r="AU32" i="13"/>
  <c r="AK32" i="13"/>
  <c r="AJ32" i="13"/>
  <c r="AI32" i="13"/>
  <c r="AE32" i="13"/>
  <c r="AC32" i="13"/>
  <c r="AA32" i="13"/>
  <c r="W32" i="13"/>
  <c r="Q32" i="13"/>
  <c r="P32" i="13"/>
  <c r="O32" i="13"/>
  <c r="N32" i="13"/>
  <c r="M32" i="13"/>
  <c r="K32" i="13"/>
  <c r="I32" i="13"/>
  <c r="G32" i="13"/>
  <c r="IC31" i="13"/>
  <c r="IB31" i="13"/>
  <c r="IA31" i="13"/>
  <c r="HZ31" i="13"/>
  <c r="HY31" i="13"/>
  <c r="HW31" i="13"/>
  <c r="HU31" i="13"/>
  <c r="HS31" i="13"/>
  <c r="HI31" i="13"/>
  <c r="HH31" i="13"/>
  <c r="HG31" i="13"/>
  <c r="HF31" i="13"/>
  <c r="HE31" i="13"/>
  <c r="HC31" i="13"/>
  <c r="HA31" i="13"/>
  <c r="GY31" i="13"/>
  <c r="GO31" i="13"/>
  <c r="GN31" i="13"/>
  <c r="GM31" i="13"/>
  <c r="GL31" i="13"/>
  <c r="GK31" i="13"/>
  <c r="GI31" i="13"/>
  <c r="GG31" i="13"/>
  <c r="FU31" i="13"/>
  <c r="FT31" i="13"/>
  <c r="FS31" i="13"/>
  <c r="FR31" i="13"/>
  <c r="FQ31" i="13"/>
  <c r="FO31" i="13"/>
  <c r="FM31" i="13"/>
  <c r="FK31" i="13"/>
  <c r="FA31" i="13"/>
  <c r="EZ31" i="13"/>
  <c r="EY31" i="13"/>
  <c r="EX31" i="13"/>
  <c r="EW31" i="13"/>
  <c r="EU31" i="13"/>
  <c r="ES31" i="13"/>
  <c r="EQ31" i="13"/>
  <c r="EG31" i="13"/>
  <c r="EF31" i="13"/>
  <c r="EE31" i="13"/>
  <c r="ED31" i="13"/>
  <c r="EC31" i="13"/>
  <c r="EA31" i="13"/>
  <c r="DY31" i="13"/>
  <c r="DW31" i="13"/>
  <c r="DM31" i="13"/>
  <c r="DL31" i="13"/>
  <c r="DK31" i="13"/>
  <c r="DJ31" i="13"/>
  <c r="DI31" i="13"/>
  <c r="DG31" i="13"/>
  <c r="DE31" i="13"/>
  <c r="DC31" i="13"/>
  <c r="CS31" i="13"/>
  <c r="CR31" i="13"/>
  <c r="CQ31" i="13"/>
  <c r="CP31" i="13"/>
  <c r="CO31" i="13"/>
  <c r="CM31" i="13"/>
  <c r="CK31" i="13"/>
  <c r="CI31" i="13"/>
  <c r="BY31" i="13"/>
  <c r="BX31" i="13"/>
  <c r="BW31" i="13"/>
  <c r="BV31" i="13"/>
  <c r="BU31" i="13"/>
  <c r="BS31" i="13"/>
  <c r="BQ31" i="13"/>
  <c r="BO31" i="13"/>
  <c r="BE31" i="13"/>
  <c r="BD31" i="13"/>
  <c r="BC31" i="13"/>
  <c r="BB31" i="13"/>
  <c r="BA31" i="13"/>
  <c r="AY31" i="13"/>
  <c r="AW31" i="13"/>
  <c r="AU31" i="13"/>
  <c r="AK31" i="13"/>
  <c r="AJ31" i="13"/>
  <c r="AI31" i="13"/>
  <c r="AE31" i="13"/>
  <c r="AC31" i="13"/>
  <c r="AA31" i="13"/>
  <c r="W31" i="13"/>
  <c r="Q31" i="13"/>
  <c r="P31" i="13"/>
  <c r="O31" i="13"/>
  <c r="N31" i="13"/>
  <c r="M31" i="13"/>
  <c r="K31" i="13"/>
  <c r="I31" i="13"/>
  <c r="G31" i="13"/>
  <c r="IC30" i="13"/>
  <c r="IB30" i="13"/>
  <c r="IA30" i="13"/>
  <c r="HZ30" i="13"/>
  <c r="HY30" i="13"/>
  <c r="HW30" i="13"/>
  <c r="HU30" i="13"/>
  <c r="HS30" i="13"/>
  <c r="HI30" i="13"/>
  <c r="HH30" i="13"/>
  <c r="HG30" i="13"/>
  <c r="HF30" i="13"/>
  <c r="HE30" i="13"/>
  <c r="HC30" i="13"/>
  <c r="HA30" i="13"/>
  <c r="GY30" i="13"/>
  <c r="GO30" i="13"/>
  <c r="GN30" i="13"/>
  <c r="GM30" i="13"/>
  <c r="GL30" i="13"/>
  <c r="GK30" i="13"/>
  <c r="GI30" i="13"/>
  <c r="GG30" i="13"/>
  <c r="FU30" i="13"/>
  <c r="FT30" i="13"/>
  <c r="FS30" i="13"/>
  <c r="FR30" i="13"/>
  <c r="FQ30" i="13"/>
  <c r="FO30" i="13"/>
  <c r="FM30" i="13"/>
  <c r="FK30" i="13"/>
  <c r="FA30" i="13"/>
  <c r="EZ30" i="13"/>
  <c r="EY30" i="13"/>
  <c r="EX30" i="13"/>
  <c r="EW30" i="13"/>
  <c r="EU30" i="13"/>
  <c r="ES30" i="13"/>
  <c r="EQ30" i="13"/>
  <c r="EG30" i="13"/>
  <c r="EF30" i="13"/>
  <c r="EE30" i="13"/>
  <c r="ED30" i="13"/>
  <c r="EC30" i="13"/>
  <c r="EA30" i="13"/>
  <c r="DY30" i="13"/>
  <c r="DW30" i="13"/>
  <c r="DM30" i="13"/>
  <c r="DL30" i="13"/>
  <c r="DK30" i="13"/>
  <c r="DJ30" i="13"/>
  <c r="DI30" i="13"/>
  <c r="DG30" i="13"/>
  <c r="DE30" i="13"/>
  <c r="DC30" i="13"/>
  <c r="CS30" i="13"/>
  <c r="CR30" i="13"/>
  <c r="CQ30" i="13"/>
  <c r="CP30" i="13"/>
  <c r="CO30" i="13"/>
  <c r="CM30" i="13"/>
  <c r="CK30" i="13"/>
  <c r="CI30" i="13"/>
  <c r="BY30" i="13"/>
  <c r="BX30" i="13"/>
  <c r="BW30" i="13"/>
  <c r="BV30" i="13"/>
  <c r="BU30" i="13"/>
  <c r="BS30" i="13"/>
  <c r="BQ30" i="13"/>
  <c r="BO30" i="13"/>
  <c r="BE30" i="13"/>
  <c r="BD30" i="13"/>
  <c r="BC30" i="13"/>
  <c r="BB30" i="13"/>
  <c r="BA30" i="13"/>
  <c r="AY30" i="13"/>
  <c r="AW30" i="13"/>
  <c r="AU30" i="13"/>
  <c r="AK30" i="13"/>
  <c r="AJ30" i="13"/>
  <c r="AI30" i="13"/>
  <c r="AE30" i="13"/>
  <c r="AC30" i="13"/>
  <c r="AA30" i="13"/>
  <c r="W30" i="13"/>
  <c r="Q30" i="13"/>
  <c r="P30" i="13"/>
  <c r="O30" i="13"/>
  <c r="N30" i="13"/>
  <c r="M30" i="13"/>
  <c r="K30" i="13"/>
  <c r="I30" i="13"/>
  <c r="G30" i="13"/>
  <c r="IC29" i="13"/>
  <c r="IB29" i="13"/>
  <c r="IA29" i="13"/>
  <c r="HZ29" i="13"/>
  <c r="HY29" i="13"/>
  <c r="HW29" i="13"/>
  <c r="HU29" i="13"/>
  <c r="HS29" i="13"/>
  <c r="HI29" i="13"/>
  <c r="HH29" i="13"/>
  <c r="HG29" i="13"/>
  <c r="HF29" i="13"/>
  <c r="HE29" i="13"/>
  <c r="HC29" i="13"/>
  <c r="HA29" i="13"/>
  <c r="GY29" i="13"/>
  <c r="GO29" i="13"/>
  <c r="GN29" i="13"/>
  <c r="GM29" i="13"/>
  <c r="GL29" i="13"/>
  <c r="GK29" i="13"/>
  <c r="GI29" i="13"/>
  <c r="GG29" i="13"/>
  <c r="FU29" i="13"/>
  <c r="FT29" i="13"/>
  <c r="FS29" i="13"/>
  <c r="FR29" i="13"/>
  <c r="FQ29" i="13"/>
  <c r="FO29" i="13"/>
  <c r="FM29" i="13"/>
  <c r="FK29" i="13"/>
  <c r="FA29" i="13"/>
  <c r="EZ29" i="13"/>
  <c r="EY29" i="13"/>
  <c r="EX29" i="13"/>
  <c r="EW29" i="13"/>
  <c r="EU29" i="13"/>
  <c r="ES29" i="13"/>
  <c r="EQ29" i="13"/>
  <c r="EG29" i="13"/>
  <c r="EF29" i="13"/>
  <c r="EE29" i="13"/>
  <c r="ED29" i="13"/>
  <c r="EC29" i="13"/>
  <c r="EA29" i="13"/>
  <c r="DY29" i="13"/>
  <c r="DW29" i="13"/>
  <c r="DM29" i="13"/>
  <c r="DL29" i="13"/>
  <c r="DK29" i="13"/>
  <c r="DJ29" i="13"/>
  <c r="DI29" i="13"/>
  <c r="DG29" i="13"/>
  <c r="DE29" i="13"/>
  <c r="DC29" i="13"/>
  <c r="CS29" i="13"/>
  <c r="CR29" i="13"/>
  <c r="CQ29" i="13"/>
  <c r="CP29" i="13"/>
  <c r="CO29" i="13"/>
  <c r="CM29" i="13"/>
  <c r="CK29" i="13"/>
  <c r="CI29" i="13"/>
  <c r="BY29" i="13"/>
  <c r="BX29" i="13"/>
  <c r="BW29" i="13"/>
  <c r="BV29" i="13"/>
  <c r="BU29" i="13"/>
  <c r="BS29" i="13"/>
  <c r="BQ29" i="13"/>
  <c r="BO29" i="13"/>
  <c r="BE29" i="13"/>
  <c r="BD29" i="13"/>
  <c r="BC29" i="13"/>
  <c r="BB29" i="13"/>
  <c r="BA29" i="13"/>
  <c r="AY29" i="13"/>
  <c r="AW29" i="13"/>
  <c r="AU29" i="13"/>
  <c r="AK29" i="13"/>
  <c r="AJ29" i="13"/>
  <c r="AI29" i="13"/>
  <c r="AE29" i="13"/>
  <c r="AC29" i="13"/>
  <c r="AA29" i="13"/>
  <c r="W29" i="13"/>
  <c r="Q29" i="13"/>
  <c r="P29" i="13"/>
  <c r="O29" i="13"/>
  <c r="N29" i="13"/>
  <c r="M29" i="13"/>
  <c r="K29" i="13"/>
  <c r="I29" i="13"/>
  <c r="G29" i="13"/>
  <c r="IC28" i="13"/>
  <c r="IB28" i="13"/>
  <c r="IA28" i="13"/>
  <c r="HZ28" i="13"/>
  <c r="HY28" i="13"/>
  <c r="HW28" i="13"/>
  <c r="HU28" i="13"/>
  <c r="HS28" i="13"/>
  <c r="HI28" i="13"/>
  <c r="HH28" i="13"/>
  <c r="HG28" i="13"/>
  <c r="HF28" i="13"/>
  <c r="HE28" i="13"/>
  <c r="HC28" i="13"/>
  <c r="HA28" i="13"/>
  <c r="GY28" i="13"/>
  <c r="GO28" i="13"/>
  <c r="GN28" i="13"/>
  <c r="GM28" i="13"/>
  <c r="GL28" i="13"/>
  <c r="GK28" i="13"/>
  <c r="GI28" i="13"/>
  <c r="GG28" i="13"/>
  <c r="FU28" i="13"/>
  <c r="FT28" i="13"/>
  <c r="FS28" i="13"/>
  <c r="FR28" i="13"/>
  <c r="FQ28" i="13"/>
  <c r="FO28" i="13"/>
  <c r="FM28" i="13"/>
  <c r="FK28" i="13"/>
  <c r="FA28" i="13"/>
  <c r="EZ28" i="13"/>
  <c r="EY28" i="13"/>
  <c r="EX28" i="13"/>
  <c r="EW28" i="13"/>
  <c r="EU28" i="13"/>
  <c r="ES28" i="13"/>
  <c r="EQ28" i="13"/>
  <c r="EG28" i="13"/>
  <c r="EF28" i="13"/>
  <c r="EE28" i="13"/>
  <c r="ED28" i="13"/>
  <c r="EC28" i="13"/>
  <c r="EA28" i="13"/>
  <c r="DY28" i="13"/>
  <c r="DW28" i="13"/>
  <c r="DM28" i="13"/>
  <c r="DL28" i="13"/>
  <c r="DK28" i="13"/>
  <c r="DJ28" i="13"/>
  <c r="DI28" i="13"/>
  <c r="DG28" i="13"/>
  <c r="DE28" i="13"/>
  <c r="DC28" i="13"/>
  <c r="CS28" i="13"/>
  <c r="CR28" i="13"/>
  <c r="CQ28" i="13"/>
  <c r="CP28" i="13"/>
  <c r="CO28" i="13"/>
  <c r="CM28" i="13"/>
  <c r="CK28" i="13"/>
  <c r="CI28" i="13"/>
  <c r="BY28" i="13"/>
  <c r="BX28" i="13"/>
  <c r="BW28" i="13"/>
  <c r="BV28" i="13"/>
  <c r="BU28" i="13"/>
  <c r="BS28" i="13"/>
  <c r="BQ28" i="13"/>
  <c r="BO28" i="13"/>
  <c r="BE28" i="13"/>
  <c r="BD28" i="13"/>
  <c r="BC28" i="13"/>
  <c r="BB28" i="13"/>
  <c r="BA28" i="13"/>
  <c r="AY28" i="13"/>
  <c r="AW28" i="13"/>
  <c r="AU28" i="13"/>
  <c r="AK28" i="13"/>
  <c r="AJ28" i="13"/>
  <c r="AI28" i="13"/>
  <c r="AE28" i="13"/>
  <c r="AC28" i="13"/>
  <c r="AA28" i="13"/>
  <c r="W28" i="13"/>
  <c r="Q28" i="13"/>
  <c r="P28" i="13"/>
  <c r="O28" i="13"/>
  <c r="N28" i="13"/>
  <c r="M28" i="13"/>
  <c r="K28" i="13"/>
  <c r="I28" i="13"/>
  <c r="G28" i="13"/>
  <c r="IC27" i="13"/>
  <c r="IB27" i="13"/>
  <c r="IA27" i="13"/>
  <c r="HZ27" i="13"/>
  <c r="HY27" i="13"/>
  <c r="HW27" i="13"/>
  <c r="HU27" i="13"/>
  <c r="HS27" i="13"/>
  <c r="HI27" i="13"/>
  <c r="HH27" i="13"/>
  <c r="HG27" i="13"/>
  <c r="HF27" i="13"/>
  <c r="HE27" i="13"/>
  <c r="HC27" i="13"/>
  <c r="HA27" i="13"/>
  <c r="GY27" i="13"/>
  <c r="GO27" i="13"/>
  <c r="GN27" i="13"/>
  <c r="GM27" i="13"/>
  <c r="GL27" i="13"/>
  <c r="GK27" i="13"/>
  <c r="GI27" i="13"/>
  <c r="GG27" i="13"/>
  <c r="FU27" i="13"/>
  <c r="FT27" i="13"/>
  <c r="FS27" i="13"/>
  <c r="FR27" i="13"/>
  <c r="FQ27" i="13"/>
  <c r="FO27" i="13"/>
  <c r="FM27" i="13"/>
  <c r="FK27" i="13"/>
  <c r="FA27" i="13"/>
  <c r="EZ27" i="13"/>
  <c r="EY27" i="13"/>
  <c r="EX27" i="13"/>
  <c r="EW27" i="13"/>
  <c r="EU27" i="13"/>
  <c r="ES27" i="13"/>
  <c r="EQ27" i="13"/>
  <c r="EG27" i="13"/>
  <c r="EF27" i="13"/>
  <c r="EE27" i="13"/>
  <c r="ED27" i="13"/>
  <c r="EC27" i="13"/>
  <c r="EA27" i="13"/>
  <c r="DY27" i="13"/>
  <c r="DW27" i="13"/>
  <c r="DM27" i="13"/>
  <c r="DL27" i="13"/>
  <c r="DK27" i="13"/>
  <c r="DJ27" i="13"/>
  <c r="DI27" i="13"/>
  <c r="DG27" i="13"/>
  <c r="DE27" i="13"/>
  <c r="DC27" i="13"/>
  <c r="CS27" i="13"/>
  <c r="CR27" i="13"/>
  <c r="CQ27" i="13"/>
  <c r="CP27" i="13"/>
  <c r="CO27" i="13"/>
  <c r="CM27" i="13"/>
  <c r="CK27" i="13"/>
  <c r="CI27" i="13"/>
  <c r="BY27" i="13"/>
  <c r="BX27" i="13"/>
  <c r="BW27" i="13"/>
  <c r="BV27" i="13"/>
  <c r="BU27" i="13"/>
  <c r="BS27" i="13"/>
  <c r="BQ27" i="13"/>
  <c r="BO27" i="13"/>
  <c r="BE27" i="13"/>
  <c r="BD27" i="13"/>
  <c r="BC27" i="13"/>
  <c r="BB27" i="13"/>
  <c r="BA27" i="13"/>
  <c r="AY27" i="13"/>
  <c r="AW27" i="13"/>
  <c r="AU27" i="13"/>
  <c r="AK27" i="13"/>
  <c r="AJ27" i="13"/>
  <c r="AI27" i="13"/>
  <c r="AE27" i="13"/>
  <c r="AC27" i="13"/>
  <c r="AA27" i="13"/>
  <c r="W27" i="13"/>
  <c r="Q27" i="13"/>
  <c r="P27" i="13"/>
  <c r="O27" i="13"/>
  <c r="N27" i="13"/>
  <c r="M27" i="13"/>
  <c r="K27" i="13"/>
  <c r="I27" i="13"/>
  <c r="G27" i="13"/>
  <c r="IC26" i="13"/>
  <c r="IB26" i="13"/>
  <c r="IA26" i="13"/>
  <c r="HZ26" i="13"/>
  <c r="HY26" i="13"/>
  <c r="HW26" i="13"/>
  <c r="HU26" i="13"/>
  <c r="HS26" i="13"/>
  <c r="HI26" i="13"/>
  <c r="HH26" i="13"/>
  <c r="HG26" i="13"/>
  <c r="HF26" i="13"/>
  <c r="HE26" i="13"/>
  <c r="HC26" i="13"/>
  <c r="HA26" i="13"/>
  <c r="GY26" i="13"/>
  <c r="GO26" i="13"/>
  <c r="GN26" i="13"/>
  <c r="GM26" i="13"/>
  <c r="GL26" i="13"/>
  <c r="GK26" i="13"/>
  <c r="GI26" i="13"/>
  <c r="GG26" i="13"/>
  <c r="FU26" i="13"/>
  <c r="FT26" i="13"/>
  <c r="FS26" i="13"/>
  <c r="FR26" i="13"/>
  <c r="FQ26" i="13"/>
  <c r="FO26" i="13"/>
  <c r="FM26" i="13"/>
  <c r="FK26" i="13"/>
  <c r="FA26" i="13"/>
  <c r="EZ26" i="13"/>
  <c r="EY26" i="13"/>
  <c r="EX26" i="13"/>
  <c r="EW26" i="13"/>
  <c r="EU26" i="13"/>
  <c r="ES26" i="13"/>
  <c r="EQ26" i="13"/>
  <c r="EG26" i="13"/>
  <c r="EF26" i="13"/>
  <c r="EE26" i="13"/>
  <c r="ED26" i="13"/>
  <c r="EC26" i="13"/>
  <c r="EA26" i="13"/>
  <c r="DY26" i="13"/>
  <c r="DW26" i="13"/>
  <c r="DM26" i="13"/>
  <c r="DL26" i="13"/>
  <c r="DK26" i="13"/>
  <c r="DJ26" i="13"/>
  <c r="DI26" i="13"/>
  <c r="DG26" i="13"/>
  <c r="DE26" i="13"/>
  <c r="DC26" i="13"/>
  <c r="CS26" i="13"/>
  <c r="CR26" i="13"/>
  <c r="CQ26" i="13"/>
  <c r="CP26" i="13"/>
  <c r="CO26" i="13"/>
  <c r="CM26" i="13"/>
  <c r="CK26" i="13"/>
  <c r="CI26" i="13"/>
  <c r="BY26" i="13"/>
  <c r="BX26" i="13"/>
  <c r="BW26" i="13"/>
  <c r="BV26" i="13"/>
  <c r="BU26" i="13"/>
  <c r="BS26" i="13"/>
  <c r="BQ26" i="13"/>
  <c r="BO26" i="13"/>
  <c r="BE26" i="13"/>
  <c r="BD26" i="13"/>
  <c r="BC26" i="13"/>
  <c r="BB26" i="13"/>
  <c r="BA26" i="13"/>
  <c r="AY26" i="13"/>
  <c r="AW26" i="13"/>
  <c r="AU26" i="13"/>
  <c r="AK26" i="13"/>
  <c r="AJ26" i="13"/>
  <c r="AI26" i="13"/>
  <c r="AE26" i="13"/>
  <c r="AC26" i="13"/>
  <c r="AA26" i="13"/>
  <c r="W26" i="13"/>
  <c r="Q26" i="13"/>
  <c r="P26" i="13"/>
  <c r="O26" i="13"/>
  <c r="N26" i="13"/>
  <c r="M26" i="13"/>
  <c r="K26" i="13"/>
  <c r="I26" i="13"/>
  <c r="G26" i="13"/>
  <c r="IC25" i="13"/>
  <c r="IB25" i="13"/>
  <c r="IA25" i="13"/>
  <c r="HZ25" i="13"/>
  <c r="HY25" i="13"/>
  <c r="HW25" i="13"/>
  <c r="HU25" i="13"/>
  <c r="HS25" i="13"/>
  <c r="HI25" i="13"/>
  <c r="HH25" i="13"/>
  <c r="HG25" i="13"/>
  <c r="HF25" i="13"/>
  <c r="HE25" i="13"/>
  <c r="HC25" i="13"/>
  <c r="HA25" i="13"/>
  <c r="GY25" i="13"/>
  <c r="GO25" i="13"/>
  <c r="GN25" i="13"/>
  <c r="GM25" i="13"/>
  <c r="GL25" i="13"/>
  <c r="GK25" i="13"/>
  <c r="GI25" i="13"/>
  <c r="GG25" i="13"/>
  <c r="FU25" i="13"/>
  <c r="FT25" i="13"/>
  <c r="FS25" i="13"/>
  <c r="FR25" i="13"/>
  <c r="FQ25" i="13"/>
  <c r="FO25" i="13"/>
  <c r="FM25" i="13"/>
  <c r="FK25" i="13"/>
  <c r="FA25" i="13"/>
  <c r="EZ25" i="13"/>
  <c r="EY25" i="13"/>
  <c r="EX25" i="13"/>
  <c r="EW25" i="13"/>
  <c r="EU25" i="13"/>
  <c r="ES25" i="13"/>
  <c r="EQ25" i="13"/>
  <c r="EG25" i="13"/>
  <c r="EF25" i="13"/>
  <c r="EE25" i="13"/>
  <c r="ED25" i="13"/>
  <c r="EC25" i="13"/>
  <c r="EA25" i="13"/>
  <c r="DY25" i="13"/>
  <c r="DW25" i="13"/>
  <c r="DM25" i="13"/>
  <c r="DL25" i="13"/>
  <c r="DK25" i="13"/>
  <c r="DJ25" i="13"/>
  <c r="DI25" i="13"/>
  <c r="DG25" i="13"/>
  <c r="DE25" i="13"/>
  <c r="DC25" i="13"/>
  <c r="CS25" i="13"/>
  <c r="CR25" i="13"/>
  <c r="CQ25" i="13"/>
  <c r="CP25" i="13"/>
  <c r="CO25" i="13"/>
  <c r="CM25" i="13"/>
  <c r="CK25" i="13"/>
  <c r="CI25" i="13"/>
  <c r="BY25" i="13"/>
  <c r="BX25" i="13"/>
  <c r="BW25" i="13"/>
  <c r="BV25" i="13"/>
  <c r="BU25" i="13"/>
  <c r="BS25" i="13"/>
  <c r="BQ25" i="13"/>
  <c r="BO25" i="13"/>
  <c r="BE25" i="13"/>
  <c r="BD25" i="13"/>
  <c r="BC25" i="13"/>
  <c r="BB25" i="13"/>
  <c r="BA25" i="13"/>
  <c r="AY25" i="13"/>
  <c r="AW25" i="13"/>
  <c r="AU25" i="13"/>
  <c r="AK25" i="13"/>
  <c r="AJ25" i="13"/>
  <c r="AI25" i="13"/>
  <c r="AE25" i="13"/>
  <c r="AC25" i="13"/>
  <c r="AA25" i="13"/>
  <c r="W25" i="13"/>
  <c r="Q25" i="13"/>
  <c r="P25" i="13"/>
  <c r="O25" i="13"/>
  <c r="N25" i="13"/>
  <c r="M25" i="13"/>
  <c r="K25" i="13"/>
  <c r="I25" i="13"/>
  <c r="G25" i="13"/>
  <c r="IC24" i="13"/>
  <c r="IB24" i="13"/>
  <c r="IA24" i="13"/>
  <c r="HZ24" i="13"/>
  <c r="HY24" i="13"/>
  <c r="HW24" i="13"/>
  <c r="HU24" i="13"/>
  <c r="HS24" i="13"/>
  <c r="HI24" i="13"/>
  <c r="HH24" i="13"/>
  <c r="HG24" i="13"/>
  <c r="HF24" i="13"/>
  <c r="HE24" i="13"/>
  <c r="HC24" i="13"/>
  <c r="HA24" i="13"/>
  <c r="GY24" i="13"/>
  <c r="GO24" i="13"/>
  <c r="GN24" i="13"/>
  <c r="GM24" i="13"/>
  <c r="GL24" i="13"/>
  <c r="GK24" i="13"/>
  <c r="GI24" i="13"/>
  <c r="GG24" i="13"/>
  <c r="FU24" i="13"/>
  <c r="FT24" i="13"/>
  <c r="FS24" i="13"/>
  <c r="FR24" i="13"/>
  <c r="FQ24" i="13"/>
  <c r="FO24" i="13"/>
  <c r="FM24" i="13"/>
  <c r="FK24" i="13"/>
  <c r="FA24" i="13"/>
  <c r="EZ24" i="13"/>
  <c r="EY24" i="13"/>
  <c r="EX24" i="13"/>
  <c r="EW24" i="13"/>
  <c r="EU24" i="13"/>
  <c r="ES24" i="13"/>
  <c r="EQ24" i="13"/>
  <c r="EG24" i="13"/>
  <c r="EF24" i="13"/>
  <c r="EE24" i="13"/>
  <c r="ED24" i="13"/>
  <c r="EC24" i="13"/>
  <c r="EA24" i="13"/>
  <c r="DY24" i="13"/>
  <c r="DW24" i="13"/>
  <c r="DM24" i="13"/>
  <c r="DL24" i="13"/>
  <c r="DK24" i="13"/>
  <c r="DJ24" i="13"/>
  <c r="DI24" i="13"/>
  <c r="DG24" i="13"/>
  <c r="DE24" i="13"/>
  <c r="DC24" i="13"/>
  <c r="CS24" i="13"/>
  <c r="CR24" i="13"/>
  <c r="CQ24" i="13"/>
  <c r="CP24" i="13"/>
  <c r="CO24" i="13"/>
  <c r="CM24" i="13"/>
  <c r="CK24" i="13"/>
  <c r="CI24" i="13"/>
  <c r="BY24" i="13"/>
  <c r="BX24" i="13"/>
  <c r="BW24" i="13"/>
  <c r="BV24" i="13"/>
  <c r="BU24" i="13"/>
  <c r="BS24" i="13"/>
  <c r="BQ24" i="13"/>
  <c r="BO24" i="13"/>
  <c r="BE24" i="13"/>
  <c r="BD24" i="13"/>
  <c r="BC24" i="13"/>
  <c r="BB24" i="13"/>
  <c r="BA24" i="13"/>
  <c r="AY24" i="13"/>
  <c r="AW24" i="13"/>
  <c r="AU24" i="13"/>
  <c r="AK24" i="13"/>
  <c r="AJ24" i="13"/>
  <c r="AI24" i="13"/>
  <c r="AE24" i="13"/>
  <c r="AC24" i="13"/>
  <c r="AA24" i="13"/>
  <c r="W24" i="13"/>
  <c r="Q24" i="13"/>
  <c r="P24" i="13"/>
  <c r="O24" i="13"/>
  <c r="N24" i="13"/>
  <c r="M24" i="13"/>
  <c r="K24" i="13"/>
  <c r="I24" i="13"/>
  <c r="G24" i="13"/>
  <c r="IC23" i="13"/>
  <c r="IC33" i="13" s="1"/>
  <c r="IB23" i="13"/>
  <c r="IB33" i="13" s="1"/>
  <c r="IA23" i="13"/>
  <c r="IA33" i="13" s="1"/>
  <c r="HZ23" i="13"/>
  <c r="HZ33" i="13" s="1"/>
  <c r="HY23" i="13"/>
  <c r="HY33" i="13" s="1"/>
  <c r="HW23" i="13"/>
  <c r="HW33" i="13" s="1"/>
  <c r="HU23" i="13"/>
  <c r="HU33" i="13" s="1"/>
  <c r="HS23" i="13"/>
  <c r="HS33" i="13" s="1"/>
  <c r="HI23" i="13"/>
  <c r="HI33" i="13" s="1"/>
  <c r="HH23" i="13"/>
  <c r="HH33" i="13" s="1"/>
  <c r="HG23" i="13"/>
  <c r="HG33" i="13" s="1"/>
  <c r="HF23" i="13"/>
  <c r="HF33" i="13" s="1"/>
  <c r="HE23" i="13"/>
  <c r="HE33" i="13" s="1"/>
  <c r="HC23" i="13"/>
  <c r="HC33" i="13" s="1"/>
  <c r="HA23" i="13"/>
  <c r="HA33" i="13" s="1"/>
  <c r="GY23" i="13"/>
  <c r="GY33" i="13" s="1"/>
  <c r="GO23" i="13"/>
  <c r="GO33" i="13" s="1"/>
  <c r="GN23" i="13"/>
  <c r="GN33" i="13" s="1"/>
  <c r="GM23" i="13"/>
  <c r="GM33" i="13" s="1"/>
  <c r="GL23" i="13"/>
  <c r="GL33" i="13" s="1"/>
  <c r="GK23" i="13"/>
  <c r="GK33" i="13" s="1"/>
  <c r="GI23" i="13"/>
  <c r="GI33" i="13" s="1"/>
  <c r="GG23" i="13"/>
  <c r="GG33" i="13" s="1"/>
  <c r="GE33" i="13"/>
  <c r="FU23" i="13"/>
  <c r="FU33" i="13" s="1"/>
  <c r="FT23" i="13"/>
  <c r="FT33" i="13" s="1"/>
  <c r="FS23" i="13"/>
  <c r="FS33" i="13" s="1"/>
  <c r="FR23" i="13"/>
  <c r="FR33" i="13" s="1"/>
  <c r="FQ23" i="13"/>
  <c r="FQ33" i="13" s="1"/>
  <c r="FO23" i="13"/>
  <c r="FO33" i="13" s="1"/>
  <c r="FM23" i="13"/>
  <c r="FM33" i="13" s="1"/>
  <c r="FK23" i="13"/>
  <c r="FK33" i="13" s="1"/>
  <c r="FA23" i="13"/>
  <c r="FA33" i="13" s="1"/>
  <c r="EZ23" i="13"/>
  <c r="EZ33" i="13" s="1"/>
  <c r="EY23" i="13"/>
  <c r="EY33" i="13" s="1"/>
  <c r="EX23" i="13"/>
  <c r="EX33" i="13" s="1"/>
  <c r="EW23" i="13"/>
  <c r="EW33" i="13" s="1"/>
  <c r="EU23" i="13"/>
  <c r="EU33" i="13" s="1"/>
  <c r="ES23" i="13"/>
  <c r="ES33" i="13" s="1"/>
  <c r="EQ23" i="13"/>
  <c r="EQ33" i="13" s="1"/>
  <c r="EG23" i="13"/>
  <c r="EG33" i="13" s="1"/>
  <c r="EF23" i="13"/>
  <c r="EF33" i="13" s="1"/>
  <c r="EE23" i="13"/>
  <c r="EE33" i="13" s="1"/>
  <c r="ED23" i="13"/>
  <c r="ED33" i="13" s="1"/>
  <c r="EC23" i="13"/>
  <c r="EC33" i="13" s="1"/>
  <c r="EA23" i="13"/>
  <c r="EA33" i="13" s="1"/>
  <c r="DY23" i="13"/>
  <c r="DY33" i="13" s="1"/>
  <c r="DW23" i="13"/>
  <c r="DW33" i="13" s="1"/>
  <c r="DM23" i="13"/>
  <c r="DM33" i="13" s="1"/>
  <c r="DL23" i="13"/>
  <c r="DL33" i="13" s="1"/>
  <c r="DK23" i="13"/>
  <c r="DK33" i="13" s="1"/>
  <c r="DJ23" i="13"/>
  <c r="DJ33" i="13" s="1"/>
  <c r="DI23" i="13"/>
  <c r="DI33" i="13" s="1"/>
  <c r="DG23" i="13"/>
  <c r="DG33" i="13" s="1"/>
  <c r="DE23" i="13"/>
  <c r="DE33" i="13" s="1"/>
  <c r="DC23" i="13"/>
  <c r="DC33" i="13" s="1"/>
  <c r="CS23" i="13"/>
  <c r="CS33" i="13" s="1"/>
  <c r="CR23" i="13"/>
  <c r="CR33" i="13" s="1"/>
  <c r="CQ23" i="13"/>
  <c r="CQ33" i="13" s="1"/>
  <c r="CP23" i="13"/>
  <c r="CP33" i="13" s="1"/>
  <c r="CO23" i="13"/>
  <c r="CO33" i="13" s="1"/>
  <c r="CM23" i="13"/>
  <c r="CM33" i="13" s="1"/>
  <c r="CK23" i="13"/>
  <c r="CK33" i="13" s="1"/>
  <c r="CI23" i="13"/>
  <c r="CI33" i="13" s="1"/>
  <c r="BY23" i="13"/>
  <c r="BY33" i="13" s="1"/>
  <c r="BX23" i="13"/>
  <c r="BX33" i="13" s="1"/>
  <c r="BW23" i="13"/>
  <c r="BW33" i="13" s="1"/>
  <c r="BV23" i="13"/>
  <c r="BV33" i="13" s="1"/>
  <c r="BU23" i="13"/>
  <c r="BU33" i="13" s="1"/>
  <c r="BS23" i="13"/>
  <c r="BS33" i="13" s="1"/>
  <c r="BQ23" i="13"/>
  <c r="BQ33" i="13" s="1"/>
  <c r="BO23" i="13"/>
  <c r="BO33" i="13" s="1"/>
  <c r="BE23" i="13"/>
  <c r="BE33" i="13" s="1"/>
  <c r="BD23" i="13"/>
  <c r="BD33" i="13" s="1"/>
  <c r="BC23" i="13"/>
  <c r="BC33" i="13" s="1"/>
  <c r="BB23" i="13"/>
  <c r="BB33" i="13" s="1"/>
  <c r="BA23" i="13"/>
  <c r="BA33" i="13" s="1"/>
  <c r="AY23" i="13"/>
  <c r="AY33" i="13" s="1"/>
  <c r="AW23" i="13"/>
  <c r="AW33" i="13" s="1"/>
  <c r="AU23" i="13"/>
  <c r="AU33" i="13" s="1"/>
  <c r="AK23" i="13"/>
  <c r="AK33" i="13" s="1"/>
  <c r="AJ23" i="13"/>
  <c r="AJ33" i="13" s="1"/>
  <c r="AI23" i="13"/>
  <c r="AI33" i="13" s="1"/>
  <c r="AE23" i="13"/>
  <c r="AE33" i="13" s="1"/>
  <c r="AC23" i="13"/>
  <c r="AC33" i="13" s="1"/>
  <c r="AA23" i="13"/>
  <c r="AA33" i="13" s="1"/>
  <c r="W23" i="13"/>
  <c r="Q23" i="13"/>
  <c r="Q33" i="13" s="1"/>
  <c r="P23" i="13"/>
  <c r="P33" i="13" s="1"/>
  <c r="O23" i="13"/>
  <c r="O33" i="13" s="1"/>
  <c r="N23" i="13"/>
  <c r="N33" i="13" s="1"/>
  <c r="M23" i="13"/>
  <c r="M33" i="13" s="1"/>
  <c r="K23" i="13"/>
  <c r="K33" i="13" s="1"/>
  <c r="I23" i="13"/>
  <c r="I33" i="13" s="1"/>
  <c r="G23" i="13"/>
  <c r="G33" i="13" s="1"/>
  <c r="IE21" i="13"/>
  <c r="ID21" i="13"/>
  <c r="HX21" i="13"/>
  <c r="HV21" i="13"/>
  <c r="HT21" i="13"/>
  <c r="HR21" i="13"/>
  <c r="HQ21" i="13"/>
  <c r="HP21" i="13"/>
  <c r="HO21" i="13"/>
  <c r="HK21" i="13"/>
  <c r="HJ21" i="13"/>
  <c r="HD21" i="13"/>
  <c r="HB21" i="13"/>
  <c r="GZ21" i="13"/>
  <c r="GX21" i="13"/>
  <c r="GW21" i="13"/>
  <c r="GV21" i="13"/>
  <c r="GU21" i="13"/>
  <c r="GQ21" i="13"/>
  <c r="GP21" i="13"/>
  <c r="GJ21" i="13"/>
  <c r="GH21" i="13"/>
  <c r="GF21" i="13"/>
  <c r="GD21" i="13"/>
  <c r="GC21" i="13"/>
  <c r="GB21" i="13"/>
  <c r="GA21" i="13"/>
  <c r="FW21" i="13"/>
  <c r="FV21" i="13"/>
  <c r="FP21" i="13"/>
  <c r="FN21" i="13"/>
  <c r="FL21" i="13"/>
  <c r="FJ21" i="13"/>
  <c r="FI21" i="13"/>
  <c r="FH21" i="13"/>
  <c r="FG21" i="13"/>
  <c r="FC21" i="13"/>
  <c r="FB21" i="13"/>
  <c r="EV21" i="13"/>
  <c r="ET21" i="13"/>
  <c r="ER21" i="13"/>
  <c r="EP21" i="13"/>
  <c r="EO21" i="13"/>
  <c r="EN21" i="13"/>
  <c r="EM21" i="13"/>
  <c r="EI21" i="13"/>
  <c r="EH21" i="13"/>
  <c r="EB21" i="13"/>
  <c r="DZ21" i="13"/>
  <c r="DX21" i="13"/>
  <c r="DV21" i="13"/>
  <c r="DU21" i="13"/>
  <c r="DT21" i="13"/>
  <c r="DS21" i="13"/>
  <c r="DO21" i="13"/>
  <c r="DN21" i="13"/>
  <c r="DH21" i="13"/>
  <c r="DF21" i="13"/>
  <c r="DD21" i="13"/>
  <c r="DB21" i="13"/>
  <c r="DA21" i="13"/>
  <c r="CZ21" i="13"/>
  <c r="CY21" i="13"/>
  <c r="CU21" i="13"/>
  <c r="CT21" i="13"/>
  <c r="CN21" i="13"/>
  <c r="CL21" i="13"/>
  <c r="CJ21" i="13"/>
  <c r="CH21" i="13"/>
  <c r="CG21" i="13"/>
  <c r="CF21" i="13"/>
  <c r="CE21" i="13"/>
  <c r="CA21" i="13"/>
  <c r="BZ21" i="13"/>
  <c r="BT21" i="13"/>
  <c r="BR21" i="13"/>
  <c r="BP21" i="13"/>
  <c r="BN21" i="13"/>
  <c r="BM21" i="13"/>
  <c r="BL21" i="13"/>
  <c r="BK21" i="13"/>
  <c r="BG21" i="13"/>
  <c r="BF21" i="13"/>
  <c r="AZ21" i="13"/>
  <c r="AX21" i="13"/>
  <c r="AV21" i="13"/>
  <c r="AT21" i="13"/>
  <c r="AS21" i="13"/>
  <c r="AR21" i="13"/>
  <c r="AQ21" i="13"/>
  <c r="AM21" i="13"/>
  <c r="AL21" i="13"/>
  <c r="AF21" i="13"/>
  <c r="AD21" i="13"/>
  <c r="AB21" i="13"/>
  <c r="Z21" i="13"/>
  <c r="Y21" i="13"/>
  <c r="X21" i="13"/>
  <c r="S21" i="13"/>
  <c r="R21" i="13"/>
  <c r="L21" i="13"/>
  <c r="J21" i="13"/>
  <c r="H21" i="13"/>
  <c r="F21" i="13"/>
  <c r="E21" i="13"/>
  <c r="D21" i="13"/>
  <c r="C21" i="13"/>
  <c r="IC20" i="13"/>
  <c r="IB20" i="13"/>
  <c r="IA20" i="13"/>
  <c r="HZ20" i="13"/>
  <c r="HY20" i="13"/>
  <c r="HW20" i="13"/>
  <c r="HU20" i="13"/>
  <c r="HS20" i="13"/>
  <c r="HI20" i="13"/>
  <c r="HH20" i="13"/>
  <c r="HG20" i="13"/>
  <c r="HF20" i="13"/>
  <c r="HE20" i="13"/>
  <c r="HC20" i="13"/>
  <c r="HA20" i="13"/>
  <c r="GY20" i="13"/>
  <c r="GO20" i="13"/>
  <c r="GN20" i="13"/>
  <c r="GM20" i="13"/>
  <c r="GL20" i="13"/>
  <c r="GK20" i="13"/>
  <c r="GI20" i="13"/>
  <c r="GG20" i="13"/>
  <c r="FU20" i="13"/>
  <c r="FT20" i="13"/>
  <c r="FS20" i="13"/>
  <c r="FR20" i="13"/>
  <c r="FQ20" i="13"/>
  <c r="FO20" i="13"/>
  <c r="FM20" i="13"/>
  <c r="FK20" i="13"/>
  <c r="FA20" i="13"/>
  <c r="EZ20" i="13"/>
  <c r="EY20" i="13"/>
  <c r="EX20" i="13"/>
  <c r="EW20" i="13"/>
  <c r="EU20" i="13"/>
  <c r="ES20" i="13"/>
  <c r="EQ20" i="13"/>
  <c r="EG20" i="13"/>
  <c r="EF20" i="13"/>
  <c r="EE20" i="13"/>
  <c r="ED20" i="13"/>
  <c r="EC20" i="13"/>
  <c r="EA20" i="13"/>
  <c r="DY20" i="13"/>
  <c r="DW20" i="13"/>
  <c r="DM20" i="13"/>
  <c r="DL20" i="13"/>
  <c r="DK20" i="13"/>
  <c r="DJ20" i="13"/>
  <c r="DI20" i="13"/>
  <c r="DG20" i="13"/>
  <c r="DE20" i="13"/>
  <c r="DC20" i="13"/>
  <c r="CS20" i="13"/>
  <c r="CR20" i="13"/>
  <c r="CQ20" i="13"/>
  <c r="CP20" i="13"/>
  <c r="CO20" i="13"/>
  <c r="CM20" i="13"/>
  <c r="CK20" i="13"/>
  <c r="CI20" i="13"/>
  <c r="BY20" i="13"/>
  <c r="BX20" i="13"/>
  <c r="BW20" i="13"/>
  <c r="BV20" i="13"/>
  <c r="BU20" i="13"/>
  <c r="BS20" i="13"/>
  <c r="BQ20" i="13"/>
  <c r="BO20" i="13"/>
  <c r="BE20" i="13"/>
  <c r="BD20" i="13"/>
  <c r="BC20" i="13"/>
  <c r="BB20" i="13"/>
  <c r="BA20" i="13"/>
  <c r="AY20" i="13"/>
  <c r="AW20" i="13"/>
  <c r="AU20" i="13"/>
  <c r="AK20" i="13"/>
  <c r="AJ20" i="13"/>
  <c r="AI20" i="13"/>
  <c r="AE20" i="13"/>
  <c r="AC20" i="13"/>
  <c r="AA20" i="13"/>
  <c r="W20" i="13"/>
  <c r="Q20" i="13"/>
  <c r="P20" i="13"/>
  <c r="O20" i="13"/>
  <c r="N20" i="13"/>
  <c r="M20" i="13"/>
  <c r="K20" i="13"/>
  <c r="I20" i="13"/>
  <c r="G20" i="13"/>
  <c r="IC19" i="13"/>
  <c r="IC21" i="13" s="1"/>
  <c r="IB19" i="13"/>
  <c r="IB21" i="13" s="1"/>
  <c r="IA19" i="13"/>
  <c r="IA21" i="13" s="1"/>
  <c r="HZ19" i="13"/>
  <c r="HZ21" i="13" s="1"/>
  <c r="HY19" i="13"/>
  <c r="HY21" i="13" s="1"/>
  <c r="HW19" i="13"/>
  <c r="HW21" i="13" s="1"/>
  <c r="HU19" i="13"/>
  <c r="HU21" i="13" s="1"/>
  <c r="HS19" i="13"/>
  <c r="HS21" i="13" s="1"/>
  <c r="HI19" i="13"/>
  <c r="HI21" i="13" s="1"/>
  <c r="HH19" i="13"/>
  <c r="HH21" i="13" s="1"/>
  <c r="HG19" i="13"/>
  <c r="HG21" i="13" s="1"/>
  <c r="HF19" i="13"/>
  <c r="HF21" i="13" s="1"/>
  <c r="HE19" i="13"/>
  <c r="HE21" i="13" s="1"/>
  <c r="HC19" i="13"/>
  <c r="HC21" i="13" s="1"/>
  <c r="HA19" i="13"/>
  <c r="HA21" i="13" s="1"/>
  <c r="GY19" i="13"/>
  <c r="GY21" i="13" s="1"/>
  <c r="GO19" i="13"/>
  <c r="GO21" i="13" s="1"/>
  <c r="GN19" i="13"/>
  <c r="GN21" i="13" s="1"/>
  <c r="GM19" i="13"/>
  <c r="GM21" i="13" s="1"/>
  <c r="GL19" i="13"/>
  <c r="GL21" i="13" s="1"/>
  <c r="GK19" i="13"/>
  <c r="GK21" i="13" s="1"/>
  <c r="GI19" i="13"/>
  <c r="GI21" i="13" s="1"/>
  <c r="GG19" i="13"/>
  <c r="GG21" i="13" s="1"/>
  <c r="GE21" i="13"/>
  <c r="FU19" i="13"/>
  <c r="FU21" i="13" s="1"/>
  <c r="FT19" i="13"/>
  <c r="FT21" i="13" s="1"/>
  <c r="FS19" i="13"/>
  <c r="FS21" i="13" s="1"/>
  <c r="FR19" i="13"/>
  <c r="FR21" i="13" s="1"/>
  <c r="FQ19" i="13"/>
  <c r="FQ21" i="13" s="1"/>
  <c r="FO19" i="13"/>
  <c r="FO21" i="13" s="1"/>
  <c r="FM19" i="13"/>
  <c r="FM21" i="13" s="1"/>
  <c r="FK19" i="13"/>
  <c r="FK21" i="13" s="1"/>
  <c r="FA19" i="13"/>
  <c r="FA21" i="13" s="1"/>
  <c r="EZ19" i="13"/>
  <c r="EZ21" i="13" s="1"/>
  <c r="EY19" i="13"/>
  <c r="EY21" i="13" s="1"/>
  <c r="EX19" i="13"/>
  <c r="EX21" i="13" s="1"/>
  <c r="EW19" i="13"/>
  <c r="EW21" i="13" s="1"/>
  <c r="EU19" i="13"/>
  <c r="EU21" i="13" s="1"/>
  <c r="ES19" i="13"/>
  <c r="ES21" i="13" s="1"/>
  <c r="EQ19" i="13"/>
  <c r="EQ21" i="13" s="1"/>
  <c r="EG19" i="13"/>
  <c r="EG21" i="13" s="1"/>
  <c r="EF19" i="13"/>
  <c r="EF21" i="13" s="1"/>
  <c r="EE19" i="13"/>
  <c r="EE21" i="13" s="1"/>
  <c r="ED19" i="13"/>
  <c r="ED21" i="13" s="1"/>
  <c r="EC19" i="13"/>
  <c r="EC21" i="13" s="1"/>
  <c r="EA19" i="13"/>
  <c r="EA21" i="13" s="1"/>
  <c r="DY19" i="13"/>
  <c r="DY21" i="13" s="1"/>
  <c r="DW19" i="13"/>
  <c r="DW21" i="13" s="1"/>
  <c r="DM19" i="13"/>
  <c r="DM21" i="13" s="1"/>
  <c r="DL19" i="13"/>
  <c r="DL21" i="13" s="1"/>
  <c r="DK19" i="13"/>
  <c r="DK21" i="13" s="1"/>
  <c r="DJ19" i="13"/>
  <c r="DJ21" i="13" s="1"/>
  <c r="DI19" i="13"/>
  <c r="DI21" i="13" s="1"/>
  <c r="DG19" i="13"/>
  <c r="DG21" i="13" s="1"/>
  <c r="DE19" i="13"/>
  <c r="DE21" i="13" s="1"/>
  <c r="DC19" i="13"/>
  <c r="DC21" i="13" s="1"/>
  <c r="CS19" i="13"/>
  <c r="CS21" i="13" s="1"/>
  <c r="CR19" i="13"/>
  <c r="CR21" i="13" s="1"/>
  <c r="CQ19" i="13"/>
  <c r="CQ21" i="13" s="1"/>
  <c r="CP19" i="13"/>
  <c r="CP21" i="13" s="1"/>
  <c r="CO19" i="13"/>
  <c r="CO21" i="13" s="1"/>
  <c r="CM19" i="13"/>
  <c r="CM21" i="13" s="1"/>
  <c r="CK19" i="13"/>
  <c r="CK21" i="13" s="1"/>
  <c r="CI19" i="13"/>
  <c r="CI21" i="13" s="1"/>
  <c r="BY19" i="13"/>
  <c r="BY21" i="13" s="1"/>
  <c r="BX19" i="13"/>
  <c r="BX21" i="13" s="1"/>
  <c r="BW19" i="13"/>
  <c r="BW21" i="13" s="1"/>
  <c r="BV19" i="13"/>
  <c r="BV21" i="13" s="1"/>
  <c r="BU19" i="13"/>
  <c r="BU21" i="13" s="1"/>
  <c r="BS19" i="13"/>
  <c r="BS21" i="13" s="1"/>
  <c r="BQ19" i="13"/>
  <c r="BQ21" i="13" s="1"/>
  <c r="BO19" i="13"/>
  <c r="BO21" i="13" s="1"/>
  <c r="BE19" i="13"/>
  <c r="BE21" i="13" s="1"/>
  <c r="BD19" i="13"/>
  <c r="BD21" i="13" s="1"/>
  <c r="BC19" i="13"/>
  <c r="BC21" i="13" s="1"/>
  <c r="BB19" i="13"/>
  <c r="BB21" i="13" s="1"/>
  <c r="BA19" i="13"/>
  <c r="BA21" i="13" s="1"/>
  <c r="AY19" i="13"/>
  <c r="AY21" i="13" s="1"/>
  <c r="AW19" i="13"/>
  <c r="AW21" i="13" s="1"/>
  <c r="AU19" i="13"/>
  <c r="AU21" i="13" s="1"/>
  <c r="AK19" i="13"/>
  <c r="AK21" i="13" s="1"/>
  <c r="AJ19" i="13"/>
  <c r="AJ21" i="13" s="1"/>
  <c r="AI19" i="13"/>
  <c r="AI21" i="13" s="1"/>
  <c r="AE19" i="13"/>
  <c r="AE21" i="13" s="1"/>
  <c r="AC19" i="13"/>
  <c r="AC21" i="13" s="1"/>
  <c r="AA19" i="13"/>
  <c r="AA21" i="13" s="1"/>
  <c r="W19" i="13"/>
  <c r="Q19" i="13"/>
  <c r="Q21" i="13" s="1"/>
  <c r="P19" i="13"/>
  <c r="P21" i="13" s="1"/>
  <c r="O19" i="13"/>
  <c r="O21" i="13" s="1"/>
  <c r="N19" i="13"/>
  <c r="N21" i="13" s="1"/>
  <c r="M19" i="13"/>
  <c r="M21" i="13" s="1"/>
  <c r="K19" i="13"/>
  <c r="K21" i="13" s="1"/>
  <c r="I19" i="13"/>
  <c r="I21" i="13" s="1"/>
  <c r="G19" i="13"/>
  <c r="G21" i="13" s="1"/>
  <c r="IE18" i="13"/>
  <c r="ID18" i="13"/>
  <c r="HX18" i="13"/>
  <c r="HV18" i="13"/>
  <c r="HT18" i="13"/>
  <c r="HR18" i="13"/>
  <c r="HQ18" i="13"/>
  <c r="HP18" i="13"/>
  <c r="HO18" i="13"/>
  <c r="HK18" i="13"/>
  <c r="HJ18" i="13"/>
  <c r="HD18" i="13"/>
  <c r="HB18" i="13"/>
  <c r="GZ18" i="13"/>
  <c r="GX18" i="13"/>
  <c r="GW18" i="13"/>
  <c r="GV18" i="13"/>
  <c r="GU18" i="13"/>
  <c r="GQ18" i="13"/>
  <c r="GP18" i="13"/>
  <c r="GJ18" i="13"/>
  <c r="GH18" i="13"/>
  <c r="GF18" i="13"/>
  <c r="GD18" i="13"/>
  <c r="GC18" i="13"/>
  <c r="GB18" i="13"/>
  <c r="GA18" i="13"/>
  <c r="FW18" i="13"/>
  <c r="FV18" i="13"/>
  <c r="FP18" i="13"/>
  <c r="FN18" i="13"/>
  <c r="FL18" i="13"/>
  <c r="FJ18" i="13"/>
  <c r="FI18" i="13"/>
  <c r="FH18" i="13"/>
  <c r="FG18" i="13"/>
  <c r="FC18" i="13"/>
  <c r="FB18" i="13"/>
  <c r="EV18" i="13"/>
  <c r="ET18" i="13"/>
  <c r="ER18" i="13"/>
  <c r="EP18" i="13"/>
  <c r="EO18" i="13"/>
  <c r="EN18" i="13"/>
  <c r="EM18" i="13"/>
  <c r="EI18" i="13"/>
  <c r="EH18" i="13"/>
  <c r="EB18" i="13"/>
  <c r="DZ18" i="13"/>
  <c r="DX18" i="13"/>
  <c r="DV18" i="13"/>
  <c r="DU18" i="13"/>
  <c r="DT18" i="13"/>
  <c r="DS18" i="13"/>
  <c r="DO18" i="13"/>
  <c r="DN18" i="13"/>
  <c r="DH18" i="13"/>
  <c r="DF18" i="13"/>
  <c r="DD18" i="13"/>
  <c r="DB18" i="13"/>
  <c r="DA18" i="13"/>
  <c r="CZ18" i="13"/>
  <c r="CY18" i="13"/>
  <c r="CU18" i="13"/>
  <c r="CT18" i="13"/>
  <c r="CN18" i="13"/>
  <c r="CL18" i="13"/>
  <c r="CJ18" i="13"/>
  <c r="CH18" i="13"/>
  <c r="CG18" i="13"/>
  <c r="CF18" i="13"/>
  <c r="CE18" i="13"/>
  <c r="CA18" i="13"/>
  <c r="BZ18" i="13"/>
  <c r="BT18" i="13"/>
  <c r="BR18" i="13"/>
  <c r="BP18" i="13"/>
  <c r="BN18" i="13"/>
  <c r="BM18" i="13"/>
  <c r="BL18" i="13"/>
  <c r="BK18" i="13"/>
  <c r="BG18" i="13"/>
  <c r="BF18" i="13"/>
  <c r="AZ18" i="13"/>
  <c r="AX18" i="13"/>
  <c r="AV18" i="13"/>
  <c r="AT18" i="13"/>
  <c r="AS18" i="13"/>
  <c r="AR18" i="13"/>
  <c r="AQ18" i="13"/>
  <c r="AM18" i="13"/>
  <c r="AL18" i="13"/>
  <c r="AF18" i="13"/>
  <c r="AD18" i="13"/>
  <c r="AB18" i="13"/>
  <c r="Z18" i="13"/>
  <c r="Y18" i="13"/>
  <c r="X18" i="13"/>
  <c r="S18" i="13"/>
  <c r="R18" i="13"/>
  <c r="L18" i="13"/>
  <c r="J18" i="13"/>
  <c r="H18" i="13"/>
  <c r="F18" i="13"/>
  <c r="E18" i="13"/>
  <c r="D18" i="13"/>
  <c r="C18" i="13"/>
  <c r="IC17" i="13"/>
  <c r="IB17" i="13"/>
  <c r="IA17" i="13"/>
  <c r="HZ17" i="13"/>
  <c r="HY17" i="13"/>
  <c r="HW17" i="13"/>
  <c r="HU17" i="13"/>
  <c r="HS17" i="13"/>
  <c r="HI17" i="13"/>
  <c r="HH17" i="13"/>
  <c r="HG17" i="13"/>
  <c r="HF17" i="13"/>
  <c r="HE17" i="13"/>
  <c r="HC17" i="13"/>
  <c r="HA17" i="13"/>
  <c r="GY17" i="13"/>
  <c r="GO17" i="13"/>
  <c r="GN17" i="13"/>
  <c r="GM17" i="13"/>
  <c r="GL17" i="13"/>
  <c r="GK17" i="13"/>
  <c r="GI17" i="13"/>
  <c r="GG17" i="13"/>
  <c r="FU17" i="13"/>
  <c r="FT17" i="13"/>
  <c r="FS17" i="13"/>
  <c r="FR17" i="13"/>
  <c r="FQ17" i="13"/>
  <c r="FO17" i="13"/>
  <c r="FM17" i="13"/>
  <c r="FK17" i="13"/>
  <c r="FA17" i="13"/>
  <c r="EZ17" i="13"/>
  <c r="EY17" i="13"/>
  <c r="EX17" i="13"/>
  <c r="EW17" i="13"/>
  <c r="EU17" i="13"/>
  <c r="ES17" i="13"/>
  <c r="EQ17" i="13"/>
  <c r="EG17" i="13"/>
  <c r="EF17" i="13"/>
  <c r="EE17" i="13"/>
  <c r="ED17" i="13"/>
  <c r="EC17" i="13"/>
  <c r="EA17" i="13"/>
  <c r="DY17" i="13"/>
  <c r="DW17" i="13"/>
  <c r="DM17" i="13"/>
  <c r="DL17" i="13"/>
  <c r="DK17" i="13"/>
  <c r="DJ17" i="13"/>
  <c r="DI17" i="13"/>
  <c r="DG17" i="13"/>
  <c r="DE17" i="13"/>
  <c r="DC17" i="13"/>
  <c r="CS17" i="13"/>
  <c r="CR17" i="13"/>
  <c r="CQ17" i="13"/>
  <c r="CP17" i="13"/>
  <c r="CO17" i="13"/>
  <c r="CM17" i="13"/>
  <c r="CK17" i="13"/>
  <c r="CI17" i="13"/>
  <c r="BY17" i="13"/>
  <c r="BX17" i="13"/>
  <c r="BW17" i="13"/>
  <c r="BV17" i="13"/>
  <c r="BU17" i="13"/>
  <c r="BS17" i="13"/>
  <c r="BQ17" i="13"/>
  <c r="BO17" i="13"/>
  <c r="BE17" i="13"/>
  <c r="BD17" i="13"/>
  <c r="BC17" i="13"/>
  <c r="BB17" i="13"/>
  <c r="BA17" i="13"/>
  <c r="AY17" i="13"/>
  <c r="AW17" i="13"/>
  <c r="AU17" i="13"/>
  <c r="AK17" i="13"/>
  <c r="AJ17" i="13"/>
  <c r="AI17" i="13"/>
  <c r="AE17" i="13"/>
  <c r="AC17" i="13"/>
  <c r="AA17" i="13"/>
  <c r="W17" i="13"/>
  <c r="Q17" i="13"/>
  <c r="P17" i="13"/>
  <c r="O17" i="13"/>
  <c r="N17" i="13"/>
  <c r="M17" i="13"/>
  <c r="K17" i="13"/>
  <c r="I17" i="13"/>
  <c r="G17" i="13"/>
  <c r="IC16" i="13"/>
  <c r="IC18" i="13" s="1"/>
  <c r="IB16" i="13"/>
  <c r="IB18" i="13" s="1"/>
  <c r="IA16" i="13"/>
  <c r="IA18" i="13" s="1"/>
  <c r="HZ16" i="13"/>
  <c r="HZ18" i="13" s="1"/>
  <c r="HY16" i="13"/>
  <c r="HY18" i="13" s="1"/>
  <c r="HW16" i="13"/>
  <c r="HW18" i="13" s="1"/>
  <c r="HU16" i="13"/>
  <c r="HU18" i="13" s="1"/>
  <c r="HS16" i="13"/>
  <c r="HS18" i="13" s="1"/>
  <c r="HI16" i="13"/>
  <c r="HI18" i="13" s="1"/>
  <c r="HH16" i="13"/>
  <c r="HH18" i="13" s="1"/>
  <c r="HG16" i="13"/>
  <c r="HG18" i="13" s="1"/>
  <c r="HF16" i="13"/>
  <c r="HF18" i="13" s="1"/>
  <c r="HE16" i="13"/>
  <c r="HE18" i="13" s="1"/>
  <c r="HC16" i="13"/>
  <c r="HC18" i="13" s="1"/>
  <c r="HA16" i="13"/>
  <c r="HA18" i="13" s="1"/>
  <c r="GY16" i="13"/>
  <c r="GY18" i="13" s="1"/>
  <c r="GO16" i="13"/>
  <c r="GO18" i="13" s="1"/>
  <c r="GN16" i="13"/>
  <c r="GN18" i="13" s="1"/>
  <c r="GM16" i="13"/>
  <c r="GM18" i="13" s="1"/>
  <c r="GL16" i="13"/>
  <c r="GL18" i="13" s="1"/>
  <c r="GK16" i="13"/>
  <c r="GK18" i="13" s="1"/>
  <c r="GI16" i="13"/>
  <c r="GI18" i="13" s="1"/>
  <c r="GG16" i="13"/>
  <c r="GG18" i="13" s="1"/>
  <c r="GE18" i="13"/>
  <c r="FU16" i="13"/>
  <c r="FU18" i="13" s="1"/>
  <c r="FT16" i="13"/>
  <c r="FT18" i="13" s="1"/>
  <c r="FS16" i="13"/>
  <c r="FS18" i="13" s="1"/>
  <c r="FR16" i="13"/>
  <c r="FR18" i="13" s="1"/>
  <c r="FQ16" i="13"/>
  <c r="FQ18" i="13" s="1"/>
  <c r="FO16" i="13"/>
  <c r="FO18" i="13" s="1"/>
  <c r="FM16" i="13"/>
  <c r="FM18" i="13" s="1"/>
  <c r="FK16" i="13"/>
  <c r="FK18" i="13" s="1"/>
  <c r="FA16" i="13"/>
  <c r="FA18" i="13" s="1"/>
  <c r="EZ16" i="13"/>
  <c r="EZ18" i="13" s="1"/>
  <c r="EY16" i="13"/>
  <c r="EY18" i="13" s="1"/>
  <c r="EX16" i="13"/>
  <c r="EX18" i="13" s="1"/>
  <c r="EW16" i="13"/>
  <c r="EW18" i="13" s="1"/>
  <c r="EU16" i="13"/>
  <c r="EU18" i="13" s="1"/>
  <c r="ES16" i="13"/>
  <c r="ES18" i="13" s="1"/>
  <c r="EQ16" i="13"/>
  <c r="EQ18" i="13" s="1"/>
  <c r="EG16" i="13"/>
  <c r="EG18" i="13" s="1"/>
  <c r="EF16" i="13"/>
  <c r="EF18" i="13" s="1"/>
  <c r="EE16" i="13"/>
  <c r="EE18" i="13" s="1"/>
  <c r="ED16" i="13"/>
  <c r="ED18" i="13" s="1"/>
  <c r="EC16" i="13"/>
  <c r="EC18" i="13" s="1"/>
  <c r="EA16" i="13"/>
  <c r="EA18" i="13" s="1"/>
  <c r="DY16" i="13"/>
  <c r="DY18" i="13" s="1"/>
  <c r="DW16" i="13"/>
  <c r="DW18" i="13" s="1"/>
  <c r="DM16" i="13"/>
  <c r="DM18" i="13" s="1"/>
  <c r="DL16" i="13"/>
  <c r="DL18" i="13" s="1"/>
  <c r="DK16" i="13"/>
  <c r="DK18" i="13" s="1"/>
  <c r="DJ16" i="13"/>
  <c r="DJ18" i="13" s="1"/>
  <c r="DI16" i="13"/>
  <c r="DI18" i="13" s="1"/>
  <c r="DG16" i="13"/>
  <c r="DG18" i="13" s="1"/>
  <c r="DE16" i="13"/>
  <c r="DE18" i="13" s="1"/>
  <c r="DC16" i="13"/>
  <c r="DC18" i="13" s="1"/>
  <c r="CS16" i="13"/>
  <c r="CS18" i="13" s="1"/>
  <c r="CR16" i="13"/>
  <c r="CR18" i="13" s="1"/>
  <c r="CQ16" i="13"/>
  <c r="CQ18" i="13" s="1"/>
  <c r="CP16" i="13"/>
  <c r="CP18" i="13" s="1"/>
  <c r="CO16" i="13"/>
  <c r="CO18" i="13" s="1"/>
  <c r="CM16" i="13"/>
  <c r="CM18" i="13" s="1"/>
  <c r="CK16" i="13"/>
  <c r="CK18" i="13" s="1"/>
  <c r="CI16" i="13"/>
  <c r="CI18" i="13" s="1"/>
  <c r="BY16" i="13"/>
  <c r="BY18" i="13" s="1"/>
  <c r="BX16" i="13"/>
  <c r="BX18" i="13" s="1"/>
  <c r="BW16" i="13"/>
  <c r="BW18" i="13" s="1"/>
  <c r="BV16" i="13"/>
  <c r="BV18" i="13" s="1"/>
  <c r="BU16" i="13"/>
  <c r="BU18" i="13" s="1"/>
  <c r="BS16" i="13"/>
  <c r="BS18" i="13" s="1"/>
  <c r="BQ16" i="13"/>
  <c r="BQ18" i="13" s="1"/>
  <c r="BO16" i="13"/>
  <c r="BO18" i="13" s="1"/>
  <c r="BE16" i="13"/>
  <c r="BE18" i="13" s="1"/>
  <c r="BD16" i="13"/>
  <c r="BD18" i="13" s="1"/>
  <c r="BC16" i="13"/>
  <c r="BC18" i="13" s="1"/>
  <c r="BB16" i="13"/>
  <c r="BB18" i="13" s="1"/>
  <c r="BA16" i="13"/>
  <c r="BA18" i="13" s="1"/>
  <c r="AY16" i="13"/>
  <c r="AY18" i="13" s="1"/>
  <c r="AW16" i="13"/>
  <c r="AW18" i="13" s="1"/>
  <c r="AU16" i="13"/>
  <c r="AU18" i="13" s="1"/>
  <c r="AK16" i="13"/>
  <c r="AK18" i="13" s="1"/>
  <c r="AJ16" i="13"/>
  <c r="AJ18" i="13" s="1"/>
  <c r="AI16" i="13"/>
  <c r="AI18" i="13" s="1"/>
  <c r="AE16" i="13"/>
  <c r="AE18" i="13" s="1"/>
  <c r="AC16" i="13"/>
  <c r="AC18" i="13" s="1"/>
  <c r="AA16" i="13"/>
  <c r="AA18" i="13" s="1"/>
  <c r="W16" i="13"/>
  <c r="Q16" i="13"/>
  <c r="Q18" i="13" s="1"/>
  <c r="P16" i="13"/>
  <c r="P18" i="13" s="1"/>
  <c r="O16" i="13"/>
  <c r="O18" i="13" s="1"/>
  <c r="N16" i="13"/>
  <c r="N18" i="13" s="1"/>
  <c r="M16" i="13"/>
  <c r="M18" i="13" s="1"/>
  <c r="K16" i="13"/>
  <c r="K18" i="13" s="1"/>
  <c r="I16" i="13"/>
  <c r="I18" i="13" s="1"/>
  <c r="G16" i="13"/>
  <c r="G18" i="13" s="1"/>
  <c r="IE15" i="13"/>
  <c r="ID15" i="13"/>
  <c r="HX15" i="13"/>
  <c r="HV15" i="13"/>
  <c r="HT15" i="13"/>
  <c r="HR15" i="13"/>
  <c r="HQ15" i="13"/>
  <c r="HP15" i="13"/>
  <c r="HO15" i="13"/>
  <c r="HK15" i="13"/>
  <c r="HJ15" i="13"/>
  <c r="HD15" i="13"/>
  <c r="HB15" i="13"/>
  <c r="GZ15" i="13"/>
  <c r="GX15" i="13"/>
  <c r="GW15" i="13"/>
  <c r="GV15" i="13"/>
  <c r="GU15" i="13"/>
  <c r="GQ15" i="13"/>
  <c r="GP15" i="13"/>
  <c r="GJ15" i="13"/>
  <c r="GH15" i="13"/>
  <c r="GF15" i="13"/>
  <c r="GD15" i="13"/>
  <c r="GC15" i="13"/>
  <c r="GB15" i="13"/>
  <c r="GA15" i="13"/>
  <c r="FW15" i="13"/>
  <c r="FV15" i="13"/>
  <c r="FP15" i="13"/>
  <c r="FN15" i="13"/>
  <c r="FL15" i="13"/>
  <c r="FJ15" i="13"/>
  <c r="FI15" i="13"/>
  <c r="FH15" i="13"/>
  <c r="FG15" i="13"/>
  <c r="FC15" i="13"/>
  <c r="FB15" i="13"/>
  <c r="EV15" i="13"/>
  <c r="ET15" i="13"/>
  <c r="ER15" i="13"/>
  <c r="EP15" i="13"/>
  <c r="EO15" i="13"/>
  <c r="EN15" i="13"/>
  <c r="EM15" i="13"/>
  <c r="EI15" i="13"/>
  <c r="EH15" i="13"/>
  <c r="EB15" i="13"/>
  <c r="DZ15" i="13"/>
  <c r="DX15" i="13"/>
  <c r="DV15" i="13"/>
  <c r="DU15" i="13"/>
  <c r="DT15" i="13"/>
  <c r="DS15" i="13"/>
  <c r="DO15" i="13"/>
  <c r="DN15" i="13"/>
  <c r="DH15" i="13"/>
  <c r="DF15" i="13"/>
  <c r="DD15" i="13"/>
  <c r="DB15" i="13"/>
  <c r="DA15" i="13"/>
  <c r="CZ15" i="13"/>
  <c r="CY15" i="13"/>
  <c r="CU15" i="13"/>
  <c r="CT15" i="13"/>
  <c r="CN15" i="13"/>
  <c r="CL15" i="13"/>
  <c r="CJ15" i="13"/>
  <c r="CH15" i="13"/>
  <c r="CG15" i="13"/>
  <c r="CF15" i="13"/>
  <c r="CE15" i="13"/>
  <c r="CA15" i="13"/>
  <c r="BZ15" i="13"/>
  <c r="BT15" i="13"/>
  <c r="BR15" i="13"/>
  <c r="BP15" i="13"/>
  <c r="BN15" i="13"/>
  <c r="BM15" i="13"/>
  <c r="BL15" i="13"/>
  <c r="BK15" i="13"/>
  <c r="BG15" i="13"/>
  <c r="BF15" i="13"/>
  <c r="AZ15" i="13"/>
  <c r="AX15" i="13"/>
  <c r="AV15" i="13"/>
  <c r="AT15" i="13"/>
  <c r="AS15" i="13"/>
  <c r="AR15" i="13"/>
  <c r="AQ15" i="13"/>
  <c r="AM15" i="13"/>
  <c r="AL15" i="13"/>
  <c r="AF15" i="13"/>
  <c r="AD15" i="13"/>
  <c r="AB15" i="13"/>
  <c r="Z15" i="13"/>
  <c r="Y15" i="13"/>
  <c r="X15" i="13"/>
  <c r="S15" i="13"/>
  <c r="R15" i="13"/>
  <c r="L15" i="13"/>
  <c r="J15" i="13"/>
  <c r="H15" i="13"/>
  <c r="F15" i="13"/>
  <c r="E15" i="13"/>
  <c r="D15" i="13"/>
  <c r="C15" i="13"/>
  <c r="IC14" i="13"/>
  <c r="IB14" i="13"/>
  <c r="IA14" i="13"/>
  <c r="HZ14" i="13"/>
  <c r="HY14" i="13"/>
  <c r="HW14" i="13"/>
  <c r="HU14" i="13"/>
  <c r="HS14" i="13"/>
  <c r="HI14" i="13"/>
  <c r="HH14" i="13"/>
  <c r="HG14" i="13"/>
  <c r="HF14" i="13"/>
  <c r="HE14" i="13"/>
  <c r="HC14" i="13"/>
  <c r="HA14" i="13"/>
  <c r="GY14" i="13"/>
  <c r="GO14" i="13"/>
  <c r="GN14" i="13"/>
  <c r="GM14" i="13"/>
  <c r="GL14" i="13"/>
  <c r="GK14" i="13"/>
  <c r="GI14" i="13"/>
  <c r="GG14" i="13"/>
  <c r="FU14" i="13"/>
  <c r="FT14" i="13"/>
  <c r="FS14" i="13"/>
  <c r="FR14" i="13"/>
  <c r="FQ14" i="13"/>
  <c r="FO14" i="13"/>
  <c r="FM14" i="13"/>
  <c r="FK14" i="13"/>
  <c r="FA14" i="13"/>
  <c r="EZ14" i="13"/>
  <c r="EY14" i="13"/>
  <c r="EX14" i="13"/>
  <c r="EW14" i="13"/>
  <c r="EU14" i="13"/>
  <c r="ES14" i="13"/>
  <c r="EQ14" i="13"/>
  <c r="EG14" i="13"/>
  <c r="EF14" i="13"/>
  <c r="EE14" i="13"/>
  <c r="ED14" i="13"/>
  <c r="EC14" i="13"/>
  <c r="EA14" i="13"/>
  <c r="DY14" i="13"/>
  <c r="DW14" i="13"/>
  <c r="DM14" i="13"/>
  <c r="DL14" i="13"/>
  <c r="DK14" i="13"/>
  <c r="DJ14" i="13"/>
  <c r="DI14" i="13"/>
  <c r="DG14" i="13"/>
  <c r="DE14" i="13"/>
  <c r="DC14" i="13"/>
  <c r="CS14" i="13"/>
  <c r="CR14" i="13"/>
  <c r="CQ14" i="13"/>
  <c r="CP14" i="13"/>
  <c r="CO14" i="13"/>
  <c r="CM14" i="13"/>
  <c r="CK14" i="13"/>
  <c r="CI14" i="13"/>
  <c r="BY14" i="13"/>
  <c r="BX14" i="13"/>
  <c r="BW14" i="13"/>
  <c r="BV14" i="13"/>
  <c r="BU14" i="13"/>
  <c r="BS14" i="13"/>
  <c r="BQ14" i="13"/>
  <c r="BO14" i="13"/>
  <c r="BE14" i="13"/>
  <c r="BD14" i="13"/>
  <c r="BC14" i="13"/>
  <c r="BB14" i="13"/>
  <c r="BA14" i="13"/>
  <c r="AY14" i="13"/>
  <c r="AW14" i="13"/>
  <c r="AU14" i="13"/>
  <c r="AK14" i="13"/>
  <c r="AJ14" i="13"/>
  <c r="AI14" i="13"/>
  <c r="AE14" i="13"/>
  <c r="AC14" i="13"/>
  <c r="AA14" i="13"/>
  <c r="W14" i="13"/>
  <c r="Q14" i="13"/>
  <c r="P14" i="13"/>
  <c r="O14" i="13"/>
  <c r="N14" i="13"/>
  <c r="M14" i="13"/>
  <c r="K14" i="13"/>
  <c r="I14" i="13"/>
  <c r="G14" i="13"/>
  <c r="IC13" i="13"/>
  <c r="IC15" i="13" s="1"/>
  <c r="IB13" i="13"/>
  <c r="IB15" i="13" s="1"/>
  <c r="IA13" i="13"/>
  <c r="IA15" i="13" s="1"/>
  <c r="HZ13" i="13"/>
  <c r="HZ15" i="13" s="1"/>
  <c r="HY13" i="13"/>
  <c r="HY15" i="13" s="1"/>
  <c r="HW13" i="13"/>
  <c r="HW15" i="13" s="1"/>
  <c r="HU13" i="13"/>
  <c r="HU15" i="13" s="1"/>
  <c r="HS13" i="13"/>
  <c r="HS15" i="13" s="1"/>
  <c r="HI13" i="13"/>
  <c r="HI15" i="13" s="1"/>
  <c r="HH13" i="13"/>
  <c r="HH15" i="13" s="1"/>
  <c r="HG13" i="13"/>
  <c r="HG15" i="13" s="1"/>
  <c r="HF13" i="13"/>
  <c r="HF15" i="13" s="1"/>
  <c r="HE13" i="13"/>
  <c r="HE15" i="13" s="1"/>
  <c r="HC13" i="13"/>
  <c r="HC15" i="13" s="1"/>
  <c r="HA13" i="13"/>
  <c r="HA15" i="13" s="1"/>
  <c r="GY13" i="13"/>
  <c r="GY15" i="13" s="1"/>
  <c r="GO13" i="13"/>
  <c r="GO15" i="13" s="1"/>
  <c r="GN13" i="13"/>
  <c r="GN15" i="13" s="1"/>
  <c r="GM13" i="13"/>
  <c r="GM15" i="13" s="1"/>
  <c r="GL13" i="13"/>
  <c r="GL15" i="13" s="1"/>
  <c r="GK13" i="13"/>
  <c r="GK15" i="13" s="1"/>
  <c r="GI13" i="13"/>
  <c r="GI15" i="13" s="1"/>
  <c r="GG13" i="13"/>
  <c r="GG15" i="13" s="1"/>
  <c r="GE15" i="13"/>
  <c r="FU13" i="13"/>
  <c r="FU15" i="13" s="1"/>
  <c r="FT13" i="13"/>
  <c r="FT15" i="13" s="1"/>
  <c r="FS13" i="13"/>
  <c r="FS15" i="13" s="1"/>
  <c r="FR13" i="13"/>
  <c r="FR15" i="13" s="1"/>
  <c r="FQ13" i="13"/>
  <c r="FQ15" i="13" s="1"/>
  <c r="FO13" i="13"/>
  <c r="FO15" i="13" s="1"/>
  <c r="FM13" i="13"/>
  <c r="FM15" i="13" s="1"/>
  <c r="FK13" i="13"/>
  <c r="FK15" i="13" s="1"/>
  <c r="FA13" i="13"/>
  <c r="FA15" i="13" s="1"/>
  <c r="EZ13" i="13"/>
  <c r="EZ15" i="13" s="1"/>
  <c r="EY13" i="13"/>
  <c r="EY15" i="13" s="1"/>
  <c r="EX13" i="13"/>
  <c r="EX15" i="13" s="1"/>
  <c r="EW13" i="13"/>
  <c r="EW15" i="13" s="1"/>
  <c r="EU13" i="13"/>
  <c r="EU15" i="13" s="1"/>
  <c r="ES13" i="13"/>
  <c r="ES15" i="13" s="1"/>
  <c r="EQ13" i="13"/>
  <c r="EQ15" i="13" s="1"/>
  <c r="EG13" i="13"/>
  <c r="EG15" i="13" s="1"/>
  <c r="EF13" i="13"/>
  <c r="EF15" i="13" s="1"/>
  <c r="EE13" i="13"/>
  <c r="EE15" i="13" s="1"/>
  <c r="ED13" i="13"/>
  <c r="ED15" i="13" s="1"/>
  <c r="EC13" i="13"/>
  <c r="EC15" i="13" s="1"/>
  <c r="EA13" i="13"/>
  <c r="EA15" i="13" s="1"/>
  <c r="DY13" i="13"/>
  <c r="DY15" i="13" s="1"/>
  <c r="DW13" i="13"/>
  <c r="DW15" i="13" s="1"/>
  <c r="DM13" i="13"/>
  <c r="DM15" i="13" s="1"/>
  <c r="DL13" i="13"/>
  <c r="DL15" i="13" s="1"/>
  <c r="DK13" i="13"/>
  <c r="DK15" i="13" s="1"/>
  <c r="DJ13" i="13"/>
  <c r="DJ15" i="13" s="1"/>
  <c r="DI13" i="13"/>
  <c r="DI15" i="13" s="1"/>
  <c r="DG13" i="13"/>
  <c r="DG15" i="13" s="1"/>
  <c r="DE13" i="13"/>
  <c r="DE15" i="13" s="1"/>
  <c r="DC13" i="13"/>
  <c r="DC15" i="13" s="1"/>
  <c r="CS13" i="13"/>
  <c r="CS15" i="13" s="1"/>
  <c r="CR13" i="13"/>
  <c r="CR15" i="13" s="1"/>
  <c r="CQ13" i="13"/>
  <c r="CQ15" i="13" s="1"/>
  <c r="CP13" i="13"/>
  <c r="CP15" i="13" s="1"/>
  <c r="CO13" i="13"/>
  <c r="CO15" i="13" s="1"/>
  <c r="CM13" i="13"/>
  <c r="CM15" i="13" s="1"/>
  <c r="CK13" i="13"/>
  <c r="CK15" i="13" s="1"/>
  <c r="CI13" i="13"/>
  <c r="CI15" i="13" s="1"/>
  <c r="BY13" i="13"/>
  <c r="BY15" i="13" s="1"/>
  <c r="BX13" i="13"/>
  <c r="BX15" i="13" s="1"/>
  <c r="BW13" i="13"/>
  <c r="BW15" i="13" s="1"/>
  <c r="BV13" i="13"/>
  <c r="BV15" i="13" s="1"/>
  <c r="BU13" i="13"/>
  <c r="BU15" i="13" s="1"/>
  <c r="BS13" i="13"/>
  <c r="BS15" i="13" s="1"/>
  <c r="BQ13" i="13"/>
  <c r="BQ15" i="13" s="1"/>
  <c r="BO13" i="13"/>
  <c r="BO15" i="13" s="1"/>
  <c r="BE13" i="13"/>
  <c r="BE15" i="13" s="1"/>
  <c r="BD13" i="13"/>
  <c r="BD15" i="13" s="1"/>
  <c r="BC13" i="13"/>
  <c r="BC15" i="13" s="1"/>
  <c r="BB13" i="13"/>
  <c r="BB15" i="13" s="1"/>
  <c r="BA13" i="13"/>
  <c r="BA15" i="13" s="1"/>
  <c r="AY13" i="13"/>
  <c r="AY15" i="13" s="1"/>
  <c r="AW13" i="13"/>
  <c r="AW15" i="13" s="1"/>
  <c r="AU13" i="13"/>
  <c r="AU15" i="13" s="1"/>
  <c r="AK13" i="13"/>
  <c r="AK15" i="13" s="1"/>
  <c r="AJ13" i="13"/>
  <c r="AJ15" i="13" s="1"/>
  <c r="AI13" i="13"/>
  <c r="AI15" i="13" s="1"/>
  <c r="AE13" i="13"/>
  <c r="AE15" i="13" s="1"/>
  <c r="AC13" i="13"/>
  <c r="AC15" i="13" s="1"/>
  <c r="AA13" i="13"/>
  <c r="AA15" i="13" s="1"/>
  <c r="W13" i="13"/>
  <c r="Q13" i="13"/>
  <c r="Q15" i="13" s="1"/>
  <c r="P13" i="13"/>
  <c r="P15" i="13" s="1"/>
  <c r="O13" i="13"/>
  <c r="O15" i="13" s="1"/>
  <c r="N13" i="13"/>
  <c r="N15" i="13" s="1"/>
  <c r="M13" i="13"/>
  <c r="M15" i="13" s="1"/>
  <c r="K13" i="13"/>
  <c r="K15" i="13" s="1"/>
  <c r="I13" i="13"/>
  <c r="I15" i="13" s="1"/>
  <c r="G13" i="13"/>
  <c r="G15" i="13" s="1"/>
  <c r="IE12" i="13"/>
  <c r="IE81" i="13" s="1"/>
  <c r="ID12" i="13"/>
  <c r="HX12" i="13"/>
  <c r="HV12" i="13"/>
  <c r="HT12" i="13"/>
  <c r="HR12" i="13"/>
  <c r="HQ12" i="13"/>
  <c r="HP12" i="13"/>
  <c r="HO12" i="13"/>
  <c r="HK12" i="13"/>
  <c r="HJ12" i="13"/>
  <c r="HD12" i="13"/>
  <c r="HB12" i="13"/>
  <c r="GZ12" i="13"/>
  <c r="GX12" i="13"/>
  <c r="GW12" i="13"/>
  <c r="GV12" i="13"/>
  <c r="GU12" i="13"/>
  <c r="GQ12" i="13"/>
  <c r="GP12" i="13"/>
  <c r="GJ12" i="13"/>
  <c r="GH12" i="13"/>
  <c r="GF12" i="13"/>
  <c r="GD12" i="13"/>
  <c r="GC12" i="13"/>
  <c r="GB12" i="13"/>
  <c r="GA12" i="13"/>
  <c r="FW12" i="13"/>
  <c r="FV12" i="13"/>
  <c r="FP12" i="13"/>
  <c r="FN12" i="13"/>
  <c r="FL12" i="13"/>
  <c r="FJ12" i="13"/>
  <c r="FI12" i="13"/>
  <c r="FH12" i="13"/>
  <c r="FG12" i="13"/>
  <c r="FC12" i="13"/>
  <c r="FB12" i="13"/>
  <c r="EV12" i="13"/>
  <c r="ET12" i="13"/>
  <c r="ER12" i="13"/>
  <c r="EP12" i="13"/>
  <c r="EO12" i="13"/>
  <c r="EN12" i="13"/>
  <c r="EM12" i="13"/>
  <c r="EI12" i="13"/>
  <c r="EI22" i="13" s="1"/>
  <c r="EH12" i="13"/>
  <c r="EB12" i="13"/>
  <c r="DZ12" i="13"/>
  <c r="DX12" i="13"/>
  <c r="DV12" i="13"/>
  <c r="DU12" i="13"/>
  <c r="DT12" i="13"/>
  <c r="DS12" i="13"/>
  <c r="DO12" i="13"/>
  <c r="DN12" i="13"/>
  <c r="DH12" i="13"/>
  <c r="DF12" i="13"/>
  <c r="DD12" i="13"/>
  <c r="DB12" i="13"/>
  <c r="DA12" i="13"/>
  <c r="CZ12" i="13"/>
  <c r="CY12" i="13"/>
  <c r="CU12" i="13"/>
  <c r="CT12" i="13"/>
  <c r="CN12" i="13"/>
  <c r="CL12" i="13"/>
  <c r="CJ12" i="13"/>
  <c r="CH12" i="13"/>
  <c r="CG12" i="13"/>
  <c r="CF12" i="13"/>
  <c r="CE12" i="13"/>
  <c r="CA12" i="13"/>
  <c r="BZ12" i="13"/>
  <c r="BT12" i="13"/>
  <c r="BR12" i="13"/>
  <c r="BP12" i="13"/>
  <c r="BN12" i="13"/>
  <c r="BM12" i="13"/>
  <c r="BL12" i="13"/>
  <c r="BK12" i="13"/>
  <c r="BG12" i="13"/>
  <c r="BF12" i="13"/>
  <c r="AZ12" i="13"/>
  <c r="AX12" i="13"/>
  <c r="AV12" i="13"/>
  <c r="AT12" i="13"/>
  <c r="AS12" i="13"/>
  <c r="AR12" i="13"/>
  <c r="AQ12" i="13"/>
  <c r="AM12" i="13"/>
  <c r="AL12" i="13"/>
  <c r="AF12" i="13"/>
  <c r="AD12" i="13"/>
  <c r="AB12" i="13"/>
  <c r="Z12" i="13"/>
  <c r="Y12" i="13"/>
  <c r="X12" i="13"/>
  <c r="S12" i="13"/>
  <c r="R12" i="13"/>
  <c r="L12" i="13"/>
  <c r="J12" i="13"/>
  <c r="H12" i="13"/>
  <c r="F12" i="13"/>
  <c r="E12" i="13"/>
  <c r="D12" i="13"/>
  <c r="C12" i="13"/>
  <c r="IC11" i="13"/>
  <c r="IB11" i="13"/>
  <c r="IA11" i="13"/>
  <c r="HZ11" i="13"/>
  <c r="HY11" i="13"/>
  <c r="HW11" i="13"/>
  <c r="HU11" i="13"/>
  <c r="HS11" i="13"/>
  <c r="HI11" i="13"/>
  <c r="HH11" i="13"/>
  <c r="HG11" i="13"/>
  <c r="HF11" i="13"/>
  <c r="HE11" i="13"/>
  <c r="HC11" i="13"/>
  <c r="HA11" i="13"/>
  <c r="GY11" i="13"/>
  <c r="GO11" i="13"/>
  <c r="GN11" i="13"/>
  <c r="GM11" i="13"/>
  <c r="GL11" i="13"/>
  <c r="GK11" i="13"/>
  <c r="GI11" i="13"/>
  <c r="GG11" i="13"/>
  <c r="FU11" i="13"/>
  <c r="FT11" i="13"/>
  <c r="FS11" i="13"/>
  <c r="FR11" i="13"/>
  <c r="FQ11" i="13"/>
  <c r="FO11" i="13"/>
  <c r="FM11" i="13"/>
  <c r="FK11" i="13"/>
  <c r="FA11" i="13"/>
  <c r="EZ11" i="13"/>
  <c r="EY11" i="13"/>
  <c r="EX11" i="13"/>
  <c r="EW11" i="13"/>
  <c r="EU11" i="13"/>
  <c r="ES11" i="13"/>
  <c r="EQ11" i="13"/>
  <c r="EG11" i="13"/>
  <c r="EF11" i="13"/>
  <c r="EE11" i="13"/>
  <c r="ED11" i="13"/>
  <c r="EC11" i="13"/>
  <c r="EA11" i="13"/>
  <c r="DY11" i="13"/>
  <c r="DW11" i="13"/>
  <c r="DM11" i="13"/>
  <c r="DL11" i="13"/>
  <c r="DK11" i="13"/>
  <c r="DJ11" i="13"/>
  <c r="DI11" i="13"/>
  <c r="DG11" i="13"/>
  <c r="DE11" i="13"/>
  <c r="DC11" i="13"/>
  <c r="CS11" i="13"/>
  <c r="CR11" i="13"/>
  <c r="CQ11" i="13"/>
  <c r="CP11" i="13"/>
  <c r="CO11" i="13"/>
  <c r="CM11" i="13"/>
  <c r="CK11" i="13"/>
  <c r="CI11" i="13"/>
  <c r="BY11" i="13"/>
  <c r="BX11" i="13"/>
  <c r="BW11" i="13"/>
  <c r="BV11" i="13"/>
  <c r="BU11" i="13"/>
  <c r="BS11" i="13"/>
  <c r="BQ11" i="13"/>
  <c r="BO11" i="13"/>
  <c r="BE11" i="13"/>
  <c r="BD11" i="13"/>
  <c r="BC11" i="13"/>
  <c r="BB11" i="13"/>
  <c r="BA11" i="13"/>
  <c r="AY11" i="13"/>
  <c r="AW11" i="13"/>
  <c r="AU11" i="13"/>
  <c r="AK11" i="13"/>
  <c r="AJ11" i="13"/>
  <c r="AI11" i="13"/>
  <c r="AE11" i="13"/>
  <c r="AC11" i="13"/>
  <c r="AA11" i="13"/>
  <c r="W11" i="13"/>
  <c r="Q11" i="13"/>
  <c r="P11" i="13"/>
  <c r="O11" i="13"/>
  <c r="N11" i="13"/>
  <c r="M11" i="13"/>
  <c r="K11" i="13"/>
  <c r="I11" i="13"/>
  <c r="G11" i="13"/>
  <c r="IC10" i="13"/>
  <c r="IB10" i="13"/>
  <c r="IA10" i="13"/>
  <c r="HZ10" i="13"/>
  <c r="HY10" i="13"/>
  <c r="HW10" i="13"/>
  <c r="HU10" i="13"/>
  <c r="HS10" i="13"/>
  <c r="HI10" i="13"/>
  <c r="HH10" i="13"/>
  <c r="HG10" i="13"/>
  <c r="HF10" i="13"/>
  <c r="HE10" i="13"/>
  <c r="HC10" i="13"/>
  <c r="HA10" i="13"/>
  <c r="GY10" i="13"/>
  <c r="GO10" i="13"/>
  <c r="GN10" i="13"/>
  <c r="GM10" i="13"/>
  <c r="GL10" i="13"/>
  <c r="GK10" i="13"/>
  <c r="GI10" i="13"/>
  <c r="GG10" i="13"/>
  <c r="FU10" i="13"/>
  <c r="FT10" i="13"/>
  <c r="FS10" i="13"/>
  <c r="FR10" i="13"/>
  <c r="FQ10" i="13"/>
  <c r="FO10" i="13"/>
  <c r="FM10" i="13"/>
  <c r="FK10" i="13"/>
  <c r="FA10" i="13"/>
  <c r="EZ10" i="13"/>
  <c r="EY10" i="13"/>
  <c r="EX10" i="13"/>
  <c r="EW10" i="13"/>
  <c r="EU10" i="13"/>
  <c r="ES10" i="13"/>
  <c r="EQ10" i="13"/>
  <c r="EG10" i="13"/>
  <c r="EF10" i="13"/>
  <c r="EE10" i="13"/>
  <c r="ED10" i="13"/>
  <c r="EC10" i="13"/>
  <c r="EA10" i="13"/>
  <c r="DY10" i="13"/>
  <c r="DW10" i="13"/>
  <c r="DM10" i="13"/>
  <c r="DL10" i="13"/>
  <c r="DK10" i="13"/>
  <c r="DJ10" i="13"/>
  <c r="DI10" i="13"/>
  <c r="DG10" i="13"/>
  <c r="DE10" i="13"/>
  <c r="DC10" i="13"/>
  <c r="CS10" i="13"/>
  <c r="CR10" i="13"/>
  <c r="CQ10" i="13"/>
  <c r="CP10" i="13"/>
  <c r="CO10" i="13"/>
  <c r="CM10" i="13"/>
  <c r="CK10" i="13"/>
  <c r="CI10" i="13"/>
  <c r="BY10" i="13"/>
  <c r="BX10" i="13"/>
  <c r="BW10" i="13"/>
  <c r="BV10" i="13"/>
  <c r="BU10" i="13"/>
  <c r="BS10" i="13"/>
  <c r="BQ10" i="13"/>
  <c r="BO10" i="13"/>
  <c r="BE10" i="13"/>
  <c r="BD10" i="13"/>
  <c r="BC10" i="13"/>
  <c r="BB10" i="13"/>
  <c r="BA10" i="13"/>
  <c r="AY10" i="13"/>
  <c r="AW10" i="13"/>
  <c r="AU10" i="13"/>
  <c r="AK10" i="13"/>
  <c r="AJ10" i="13"/>
  <c r="AI10" i="13"/>
  <c r="AE10" i="13"/>
  <c r="AC10" i="13"/>
  <c r="AA10" i="13"/>
  <c r="W10" i="13"/>
  <c r="Q10" i="13"/>
  <c r="P10" i="13"/>
  <c r="O10" i="13"/>
  <c r="N10" i="13"/>
  <c r="M10" i="13"/>
  <c r="K10" i="13"/>
  <c r="I10" i="13"/>
  <c r="G10" i="13"/>
  <c r="IC9" i="13"/>
  <c r="IB9" i="13"/>
  <c r="IA9" i="13"/>
  <c r="HZ9" i="13"/>
  <c r="HY9" i="13"/>
  <c r="HW9" i="13"/>
  <c r="HU9" i="13"/>
  <c r="HS9" i="13"/>
  <c r="HI9" i="13"/>
  <c r="HH9" i="13"/>
  <c r="HG9" i="13"/>
  <c r="HF9" i="13"/>
  <c r="HE9" i="13"/>
  <c r="HC9" i="13"/>
  <c r="HA9" i="13"/>
  <c r="GY9" i="13"/>
  <c r="GO9" i="13"/>
  <c r="GN9" i="13"/>
  <c r="GM9" i="13"/>
  <c r="GL9" i="13"/>
  <c r="GK9" i="13"/>
  <c r="GI9" i="13"/>
  <c r="GG9" i="13"/>
  <c r="FU9" i="13"/>
  <c r="FT9" i="13"/>
  <c r="FS9" i="13"/>
  <c r="FR9" i="13"/>
  <c r="FQ9" i="13"/>
  <c r="FO9" i="13"/>
  <c r="FM9" i="13"/>
  <c r="FK9" i="13"/>
  <c r="FA9" i="13"/>
  <c r="EZ9" i="13"/>
  <c r="EY9" i="13"/>
  <c r="EX9" i="13"/>
  <c r="EW9" i="13"/>
  <c r="EU9" i="13"/>
  <c r="ES9" i="13"/>
  <c r="EQ9" i="13"/>
  <c r="EG9" i="13"/>
  <c r="EF9" i="13"/>
  <c r="EE9" i="13"/>
  <c r="ED9" i="13"/>
  <c r="EC9" i="13"/>
  <c r="EA9" i="13"/>
  <c r="DY9" i="13"/>
  <c r="DW9" i="13"/>
  <c r="DM9" i="13"/>
  <c r="DL9" i="13"/>
  <c r="DK9" i="13"/>
  <c r="DJ9" i="13"/>
  <c r="DI9" i="13"/>
  <c r="DG9" i="13"/>
  <c r="DE9" i="13"/>
  <c r="DC9" i="13"/>
  <c r="CS9" i="13"/>
  <c r="CR9" i="13"/>
  <c r="CQ9" i="13"/>
  <c r="CP9" i="13"/>
  <c r="CO9" i="13"/>
  <c r="CM9" i="13"/>
  <c r="CK9" i="13"/>
  <c r="CI9" i="13"/>
  <c r="BY9" i="13"/>
  <c r="BX9" i="13"/>
  <c r="BW9" i="13"/>
  <c r="BV9" i="13"/>
  <c r="BU9" i="13"/>
  <c r="BS9" i="13"/>
  <c r="BQ9" i="13"/>
  <c r="BO9" i="13"/>
  <c r="BE9" i="13"/>
  <c r="BD9" i="13"/>
  <c r="BC9" i="13"/>
  <c r="BB9" i="13"/>
  <c r="BA9" i="13"/>
  <c r="AY9" i="13"/>
  <c r="AW9" i="13"/>
  <c r="AU9" i="13"/>
  <c r="AK9" i="13"/>
  <c r="AJ9" i="13"/>
  <c r="AI9" i="13"/>
  <c r="AE9" i="13"/>
  <c r="AC9" i="13"/>
  <c r="AA9" i="13"/>
  <c r="W9" i="13"/>
  <c r="Q9" i="13"/>
  <c r="P9" i="13"/>
  <c r="O9" i="13"/>
  <c r="N9" i="13"/>
  <c r="M9" i="13"/>
  <c r="K9" i="13"/>
  <c r="I9" i="13"/>
  <c r="G9" i="13"/>
  <c r="IC8" i="13"/>
  <c r="IB8" i="13"/>
  <c r="IA8" i="13"/>
  <c r="HZ8" i="13"/>
  <c r="HY8" i="13"/>
  <c r="HW8" i="13"/>
  <c r="HU8" i="13"/>
  <c r="HS8" i="13"/>
  <c r="HI8" i="13"/>
  <c r="HH8" i="13"/>
  <c r="HG8" i="13"/>
  <c r="HF8" i="13"/>
  <c r="HE8" i="13"/>
  <c r="HC8" i="13"/>
  <c r="HA8" i="13"/>
  <c r="GY8" i="13"/>
  <c r="GO8" i="13"/>
  <c r="GN8" i="13"/>
  <c r="GM8" i="13"/>
  <c r="GL8" i="13"/>
  <c r="GK8" i="13"/>
  <c r="GI8" i="13"/>
  <c r="GG8" i="13"/>
  <c r="FU8" i="13"/>
  <c r="FT8" i="13"/>
  <c r="FS8" i="13"/>
  <c r="FR8" i="13"/>
  <c r="FQ8" i="13"/>
  <c r="FO8" i="13"/>
  <c r="FM8" i="13"/>
  <c r="FK8" i="13"/>
  <c r="FA8" i="13"/>
  <c r="EZ8" i="13"/>
  <c r="EY8" i="13"/>
  <c r="EX8" i="13"/>
  <c r="EW8" i="13"/>
  <c r="EU8" i="13"/>
  <c r="ES8" i="13"/>
  <c r="EQ8" i="13"/>
  <c r="EG8" i="13"/>
  <c r="EF8" i="13"/>
  <c r="EE8" i="13"/>
  <c r="ED8" i="13"/>
  <c r="EC8" i="13"/>
  <c r="EA8" i="13"/>
  <c r="DY8" i="13"/>
  <c r="DW8" i="13"/>
  <c r="DM8" i="13"/>
  <c r="DL8" i="13"/>
  <c r="DK8" i="13"/>
  <c r="DJ8" i="13"/>
  <c r="DI8" i="13"/>
  <c r="DG8" i="13"/>
  <c r="DE8" i="13"/>
  <c r="DC8" i="13"/>
  <c r="CS8" i="13"/>
  <c r="CR8" i="13"/>
  <c r="CQ8" i="13"/>
  <c r="CP8" i="13"/>
  <c r="CO8" i="13"/>
  <c r="CM8" i="13"/>
  <c r="CK8" i="13"/>
  <c r="CI8" i="13"/>
  <c r="BY8" i="13"/>
  <c r="BX8" i="13"/>
  <c r="BW8" i="13"/>
  <c r="BV8" i="13"/>
  <c r="BU8" i="13"/>
  <c r="BS8" i="13"/>
  <c r="BQ8" i="13"/>
  <c r="BO8" i="13"/>
  <c r="BE8" i="13"/>
  <c r="BD8" i="13"/>
  <c r="BC8" i="13"/>
  <c r="BB8" i="13"/>
  <c r="BA8" i="13"/>
  <c r="AY8" i="13"/>
  <c r="AW8" i="13"/>
  <c r="AU8" i="13"/>
  <c r="AK8" i="13"/>
  <c r="AJ8" i="13"/>
  <c r="AI8" i="13"/>
  <c r="AE8" i="13"/>
  <c r="AC8" i="13"/>
  <c r="AA8" i="13"/>
  <c r="W8" i="13"/>
  <c r="Q8" i="13"/>
  <c r="P8" i="13"/>
  <c r="O8" i="13"/>
  <c r="N8" i="13"/>
  <c r="M8" i="13"/>
  <c r="K8" i="13"/>
  <c r="I8" i="13"/>
  <c r="G8" i="13"/>
  <c r="IC7" i="13"/>
  <c r="IB7" i="13"/>
  <c r="IA7" i="13"/>
  <c r="HZ7" i="13"/>
  <c r="HY7" i="13"/>
  <c r="HW7" i="13"/>
  <c r="HU7" i="13"/>
  <c r="HS7" i="13"/>
  <c r="HI7" i="13"/>
  <c r="HH7" i="13"/>
  <c r="HG7" i="13"/>
  <c r="HF7" i="13"/>
  <c r="HE7" i="13"/>
  <c r="HC7" i="13"/>
  <c r="HA7" i="13"/>
  <c r="GY7" i="13"/>
  <c r="GO7" i="13"/>
  <c r="GN7" i="13"/>
  <c r="GM7" i="13"/>
  <c r="GL7" i="13"/>
  <c r="GK7" i="13"/>
  <c r="GI7" i="13"/>
  <c r="GG7" i="13"/>
  <c r="FU7" i="13"/>
  <c r="FT7" i="13"/>
  <c r="FS7" i="13"/>
  <c r="FR7" i="13"/>
  <c r="FQ7" i="13"/>
  <c r="FO7" i="13"/>
  <c r="FM7" i="13"/>
  <c r="FK7" i="13"/>
  <c r="FA7" i="13"/>
  <c r="EZ7" i="13"/>
  <c r="EY7" i="13"/>
  <c r="EX7" i="13"/>
  <c r="EW7" i="13"/>
  <c r="EU7" i="13"/>
  <c r="ES7" i="13"/>
  <c r="EQ7" i="13"/>
  <c r="EG7" i="13"/>
  <c r="EF7" i="13"/>
  <c r="EE7" i="13"/>
  <c r="ED7" i="13"/>
  <c r="EC7" i="13"/>
  <c r="EA7" i="13"/>
  <c r="DY7" i="13"/>
  <c r="DW7" i="13"/>
  <c r="DM7" i="13"/>
  <c r="DL7" i="13"/>
  <c r="DK7" i="13"/>
  <c r="DJ7" i="13"/>
  <c r="DI7" i="13"/>
  <c r="DG7" i="13"/>
  <c r="DE7" i="13"/>
  <c r="DC7" i="13"/>
  <c r="CS7" i="13"/>
  <c r="CR7" i="13"/>
  <c r="CQ7" i="13"/>
  <c r="CP7" i="13"/>
  <c r="CO7" i="13"/>
  <c r="CM7" i="13"/>
  <c r="CK7" i="13"/>
  <c r="CI7" i="13"/>
  <c r="BY7" i="13"/>
  <c r="BX7" i="13"/>
  <c r="BW7" i="13"/>
  <c r="BV7" i="13"/>
  <c r="BU7" i="13"/>
  <c r="BS7" i="13"/>
  <c r="BQ7" i="13"/>
  <c r="BO7" i="13"/>
  <c r="BE7" i="13"/>
  <c r="BD7" i="13"/>
  <c r="BC7" i="13"/>
  <c r="BB7" i="13"/>
  <c r="BA7" i="13"/>
  <c r="AY7" i="13"/>
  <c r="AW7" i="13"/>
  <c r="AU7" i="13"/>
  <c r="AK7" i="13"/>
  <c r="AJ7" i="13"/>
  <c r="AI7" i="13"/>
  <c r="AE7" i="13"/>
  <c r="AC7" i="13"/>
  <c r="AA7" i="13"/>
  <c r="W7" i="13"/>
  <c r="Q7" i="13"/>
  <c r="P7" i="13"/>
  <c r="O7" i="13"/>
  <c r="N7" i="13"/>
  <c r="M7" i="13"/>
  <c r="K7" i="13"/>
  <c r="I7" i="13"/>
  <c r="G7" i="13"/>
  <c r="IC6" i="13"/>
  <c r="IC12" i="13" s="1"/>
  <c r="IB6" i="13"/>
  <c r="IB12" i="13" s="1"/>
  <c r="IA6" i="13"/>
  <c r="IA12" i="13" s="1"/>
  <c r="HZ6" i="13"/>
  <c r="HZ12" i="13" s="1"/>
  <c r="HY6" i="13"/>
  <c r="HY12" i="13" s="1"/>
  <c r="HW6" i="13"/>
  <c r="HW12" i="13" s="1"/>
  <c r="HU6" i="13"/>
  <c r="HU12" i="13" s="1"/>
  <c r="HS6" i="13"/>
  <c r="HS12" i="13" s="1"/>
  <c r="HI6" i="13"/>
  <c r="HI12" i="13" s="1"/>
  <c r="HH6" i="13"/>
  <c r="HH12" i="13" s="1"/>
  <c r="HG6" i="13"/>
  <c r="HG12" i="13" s="1"/>
  <c r="HF6" i="13"/>
  <c r="HF12" i="13" s="1"/>
  <c r="HE6" i="13"/>
  <c r="HE12" i="13" s="1"/>
  <c r="HC6" i="13"/>
  <c r="HC12" i="13" s="1"/>
  <c r="HA6" i="13"/>
  <c r="HA12" i="13" s="1"/>
  <c r="GY6" i="13"/>
  <c r="GY12" i="13" s="1"/>
  <c r="GO6" i="13"/>
  <c r="GO12" i="13" s="1"/>
  <c r="GN6" i="13"/>
  <c r="GN12" i="13" s="1"/>
  <c r="GM6" i="13"/>
  <c r="GM12" i="13" s="1"/>
  <c r="GL6" i="13"/>
  <c r="GL12" i="13" s="1"/>
  <c r="GK6" i="13"/>
  <c r="GK12" i="13" s="1"/>
  <c r="GI6" i="13"/>
  <c r="GI12" i="13" s="1"/>
  <c r="GG6" i="13"/>
  <c r="GG12" i="13" s="1"/>
  <c r="GE12" i="13"/>
  <c r="FU6" i="13"/>
  <c r="FU12" i="13" s="1"/>
  <c r="FT6" i="13"/>
  <c r="FT12" i="13" s="1"/>
  <c r="FS6" i="13"/>
  <c r="FS12" i="13" s="1"/>
  <c r="FR6" i="13"/>
  <c r="FR12" i="13" s="1"/>
  <c r="FQ6" i="13"/>
  <c r="FQ12" i="13" s="1"/>
  <c r="FO6" i="13"/>
  <c r="FO12" i="13" s="1"/>
  <c r="FM6" i="13"/>
  <c r="FM12" i="13" s="1"/>
  <c r="FK6" i="13"/>
  <c r="FK12" i="13" s="1"/>
  <c r="FA6" i="13"/>
  <c r="FA12" i="13" s="1"/>
  <c r="EZ6" i="13"/>
  <c r="EZ12" i="13" s="1"/>
  <c r="EY6" i="13"/>
  <c r="EY12" i="13" s="1"/>
  <c r="EX6" i="13"/>
  <c r="EX12" i="13" s="1"/>
  <c r="EW6" i="13"/>
  <c r="EW12" i="13" s="1"/>
  <c r="EU6" i="13"/>
  <c r="EU12" i="13" s="1"/>
  <c r="ES6" i="13"/>
  <c r="ES12" i="13" s="1"/>
  <c r="EQ6" i="13"/>
  <c r="EQ12" i="13" s="1"/>
  <c r="EG6" i="13"/>
  <c r="EG12" i="13" s="1"/>
  <c r="EF6" i="13"/>
  <c r="EF12" i="13" s="1"/>
  <c r="EE6" i="13"/>
  <c r="EE12" i="13" s="1"/>
  <c r="ED6" i="13"/>
  <c r="ED12" i="13" s="1"/>
  <c r="EC6" i="13"/>
  <c r="EC12" i="13" s="1"/>
  <c r="EA6" i="13"/>
  <c r="EA12" i="13" s="1"/>
  <c r="DY6" i="13"/>
  <c r="DY12" i="13" s="1"/>
  <c r="DW6" i="13"/>
  <c r="DW12" i="13" s="1"/>
  <c r="DM6" i="13"/>
  <c r="DM12" i="13" s="1"/>
  <c r="DL6" i="13"/>
  <c r="DL12" i="13" s="1"/>
  <c r="DK6" i="13"/>
  <c r="DK12" i="13" s="1"/>
  <c r="DJ6" i="13"/>
  <c r="DJ12" i="13" s="1"/>
  <c r="DI6" i="13"/>
  <c r="DI12" i="13" s="1"/>
  <c r="DG6" i="13"/>
  <c r="DG12" i="13" s="1"/>
  <c r="DE6" i="13"/>
  <c r="DE12" i="13" s="1"/>
  <c r="DC6" i="13"/>
  <c r="DC12" i="13" s="1"/>
  <c r="CS6" i="13"/>
  <c r="CS12" i="13" s="1"/>
  <c r="CR6" i="13"/>
  <c r="CR12" i="13" s="1"/>
  <c r="CQ6" i="13"/>
  <c r="CQ12" i="13" s="1"/>
  <c r="CP6" i="13"/>
  <c r="CP12" i="13" s="1"/>
  <c r="CO6" i="13"/>
  <c r="CO12" i="13" s="1"/>
  <c r="CM6" i="13"/>
  <c r="CM12" i="13" s="1"/>
  <c r="CK6" i="13"/>
  <c r="CK12" i="13" s="1"/>
  <c r="CI6" i="13"/>
  <c r="CI12" i="13" s="1"/>
  <c r="BY6" i="13"/>
  <c r="BY12" i="13" s="1"/>
  <c r="BX6" i="13"/>
  <c r="BX12" i="13" s="1"/>
  <c r="BW6" i="13"/>
  <c r="BW12" i="13" s="1"/>
  <c r="BV6" i="13"/>
  <c r="BV12" i="13" s="1"/>
  <c r="BU6" i="13"/>
  <c r="BU12" i="13" s="1"/>
  <c r="BS6" i="13"/>
  <c r="BS12" i="13" s="1"/>
  <c r="BQ6" i="13"/>
  <c r="BQ12" i="13" s="1"/>
  <c r="BO6" i="13"/>
  <c r="BO12" i="13" s="1"/>
  <c r="BE6" i="13"/>
  <c r="BE12" i="13" s="1"/>
  <c r="BD6" i="13"/>
  <c r="BD12" i="13" s="1"/>
  <c r="BC6" i="13"/>
  <c r="BC12" i="13" s="1"/>
  <c r="BB6" i="13"/>
  <c r="BB12" i="13" s="1"/>
  <c r="BA6" i="13"/>
  <c r="BA12" i="13" s="1"/>
  <c r="AY6" i="13"/>
  <c r="AY12" i="13" s="1"/>
  <c r="AW6" i="13"/>
  <c r="AW12" i="13" s="1"/>
  <c r="AU6" i="13"/>
  <c r="AU12" i="13" s="1"/>
  <c r="AK6" i="13"/>
  <c r="AK12" i="13" s="1"/>
  <c r="AJ6" i="13"/>
  <c r="AJ12" i="13" s="1"/>
  <c r="AI6" i="13"/>
  <c r="AI12" i="13" s="1"/>
  <c r="AE6" i="13"/>
  <c r="AE12" i="13" s="1"/>
  <c r="AC6" i="13"/>
  <c r="AC12" i="13" s="1"/>
  <c r="AA6" i="13"/>
  <c r="AA12" i="13" s="1"/>
  <c r="W6" i="13"/>
  <c r="Q6" i="13"/>
  <c r="Q12" i="13" s="1"/>
  <c r="P6" i="13"/>
  <c r="P12" i="13" s="1"/>
  <c r="O6" i="13"/>
  <c r="O12" i="13" s="1"/>
  <c r="N6" i="13"/>
  <c r="N12" i="13" s="1"/>
  <c r="M6" i="13"/>
  <c r="M12" i="13" s="1"/>
  <c r="K6" i="13"/>
  <c r="K12" i="13" s="1"/>
  <c r="I6" i="13"/>
  <c r="I12" i="13" s="1"/>
  <c r="G6" i="13"/>
  <c r="G12" i="13" s="1"/>
  <c r="O74" i="12"/>
  <c r="O44" i="12"/>
  <c r="O47" i="12"/>
  <c r="O58" i="12"/>
  <c r="O59" i="12" s="1"/>
  <c r="O54" i="12"/>
  <c r="O51" i="12"/>
  <c r="O35" i="12"/>
  <c r="O31" i="12"/>
  <c r="T10" i="12"/>
  <c r="T76" i="12" s="1"/>
  <c r="O19" i="12"/>
  <c r="O16" i="12"/>
  <c r="O13" i="12"/>
  <c r="O10" i="12"/>
  <c r="T74" i="12"/>
  <c r="S73" i="12"/>
  <c r="L73" i="12"/>
  <c r="J73" i="12"/>
  <c r="H73" i="12"/>
  <c r="F73" i="12"/>
  <c r="D73" i="12"/>
  <c r="P73" i="12" s="1"/>
  <c r="S72" i="12"/>
  <c r="L72" i="12"/>
  <c r="J72" i="12"/>
  <c r="H72" i="12"/>
  <c r="F72" i="12"/>
  <c r="D72" i="12"/>
  <c r="S71" i="12"/>
  <c r="L71" i="12"/>
  <c r="J71" i="12"/>
  <c r="H71" i="12"/>
  <c r="F71" i="12"/>
  <c r="D71" i="12"/>
  <c r="P71" i="12" s="1"/>
  <c r="S70" i="12"/>
  <c r="L70" i="12"/>
  <c r="J70" i="12"/>
  <c r="H70" i="12"/>
  <c r="F70" i="12"/>
  <c r="D70" i="12"/>
  <c r="S69" i="12"/>
  <c r="L69" i="12"/>
  <c r="J69" i="12"/>
  <c r="H69" i="12"/>
  <c r="F69" i="12"/>
  <c r="D69" i="12"/>
  <c r="P69" i="12" s="1"/>
  <c r="S68" i="12"/>
  <c r="L68" i="12"/>
  <c r="J68" i="12"/>
  <c r="H68" i="12"/>
  <c r="F68" i="12"/>
  <c r="D68" i="12"/>
  <c r="S67" i="12"/>
  <c r="L67" i="12"/>
  <c r="J67" i="12"/>
  <c r="H67" i="12"/>
  <c r="F67" i="12"/>
  <c r="D67" i="12"/>
  <c r="P67" i="12" s="1"/>
  <c r="S66" i="12"/>
  <c r="L66" i="12"/>
  <c r="J66" i="12"/>
  <c r="H66" i="12"/>
  <c r="F66" i="12"/>
  <c r="D66" i="12"/>
  <c r="S65" i="12"/>
  <c r="L65" i="12"/>
  <c r="J65" i="12"/>
  <c r="H65" i="12"/>
  <c r="F65" i="12"/>
  <c r="D65" i="12"/>
  <c r="P65" i="12" s="1"/>
  <c r="S64" i="12"/>
  <c r="L64" i="12"/>
  <c r="J64" i="12"/>
  <c r="H64" i="12"/>
  <c r="F64" i="12"/>
  <c r="D64" i="12"/>
  <c r="S63" i="12"/>
  <c r="L63" i="12"/>
  <c r="J63" i="12"/>
  <c r="H63" i="12"/>
  <c r="F63" i="12"/>
  <c r="D63" i="12"/>
  <c r="P63" i="12" s="1"/>
  <c r="S62" i="12"/>
  <c r="L62" i="12"/>
  <c r="J62" i="12"/>
  <c r="H62" i="12"/>
  <c r="F62" i="12"/>
  <c r="D62" i="12"/>
  <c r="S61" i="12"/>
  <c r="L61" i="12"/>
  <c r="J61" i="12"/>
  <c r="H61" i="12"/>
  <c r="F61" i="12"/>
  <c r="D61" i="12"/>
  <c r="P61" i="12" s="1"/>
  <c r="S60" i="12"/>
  <c r="L60" i="12"/>
  <c r="J60" i="12"/>
  <c r="H60" i="12"/>
  <c r="F60" i="12"/>
  <c r="D60" i="12"/>
  <c r="T59" i="12"/>
  <c r="S58" i="12"/>
  <c r="L58" i="12"/>
  <c r="H58" i="12"/>
  <c r="S57" i="12"/>
  <c r="L57" i="12"/>
  <c r="S56" i="12"/>
  <c r="L56" i="12"/>
  <c r="S55" i="12"/>
  <c r="L55" i="12"/>
  <c r="T54" i="12"/>
  <c r="S53" i="12"/>
  <c r="L53" i="12"/>
  <c r="J53" i="12"/>
  <c r="H53" i="12"/>
  <c r="E53" i="12"/>
  <c r="D53" i="12"/>
  <c r="P53" i="12" s="1"/>
  <c r="S52" i="12"/>
  <c r="L52" i="12"/>
  <c r="J52" i="12"/>
  <c r="H52" i="12"/>
  <c r="E52" i="12"/>
  <c r="D52" i="12"/>
  <c r="T51" i="12"/>
  <c r="S50" i="12"/>
  <c r="L50" i="12"/>
  <c r="J50" i="12"/>
  <c r="H50" i="12"/>
  <c r="F50" i="12"/>
  <c r="E50" i="12"/>
  <c r="D50" i="12"/>
  <c r="P50" i="12" s="1"/>
  <c r="C50" i="12"/>
  <c r="S49" i="12"/>
  <c r="L49" i="12"/>
  <c r="J49" i="12"/>
  <c r="H49" i="12"/>
  <c r="F49" i="12"/>
  <c r="E49" i="12"/>
  <c r="D49" i="12"/>
  <c r="P49" i="12" s="1"/>
  <c r="C49" i="12"/>
  <c r="S48" i="12"/>
  <c r="L48" i="12"/>
  <c r="J48" i="12"/>
  <c r="H48" i="12"/>
  <c r="F48" i="12"/>
  <c r="E48" i="12"/>
  <c r="D48" i="12"/>
  <c r="C48" i="12"/>
  <c r="T47" i="12"/>
  <c r="S46" i="12"/>
  <c r="L46" i="12"/>
  <c r="J46" i="12"/>
  <c r="H46" i="12"/>
  <c r="F46" i="12"/>
  <c r="E46" i="12"/>
  <c r="D46" i="12"/>
  <c r="P46" i="12" s="1"/>
  <c r="C46" i="12"/>
  <c r="S45" i="12"/>
  <c r="L45" i="12"/>
  <c r="J45" i="12"/>
  <c r="H45" i="12"/>
  <c r="F45" i="12"/>
  <c r="E45" i="12"/>
  <c r="D45" i="12"/>
  <c r="P45" i="12" s="1"/>
  <c r="C45" i="12"/>
  <c r="T44" i="12"/>
  <c r="T75" i="12" s="1"/>
  <c r="S43" i="12"/>
  <c r="L43" i="12"/>
  <c r="J43" i="12"/>
  <c r="H43" i="12"/>
  <c r="F43" i="12"/>
  <c r="E43" i="12"/>
  <c r="D43" i="12"/>
  <c r="C43" i="12"/>
  <c r="S42" i="12"/>
  <c r="L42" i="12"/>
  <c r="J42" i="12"/>
  <c r="H42" i="12"/>
  <c r="F42" i="12"/>
  <c r="E42" i="12"/>
  <c r="E44" i="12" s="1"/>
  <c r="D42" i="12"/>
  <c r="C42" i="12"/>
  <c r="T41" i="12"/>
  <c r="S40" i="12"/>
  <c r="L40" i="12"/>
  <c r="J40" i="12"/>
  <c r="H40" i="12"/>
  <c r="H41" i="12" s="1"/>
  <c r="F40" i="12"/>
  <c r="E40" i="12"/>
  <c r="D40" i="12"/>
  <c r="P40" i="12" s="1"/>
  <c r="C40" i="12"/>
  <c r="S39" i="12"/>
  <c r="L39" i="12"/>
  <c r="J39" i="12"/>
  <c r="H39" i="12"/>
  <c r="F39" i="12"/>
  <c r="E39" i="12"/>
  <c r="D39" i="12"/>
  <c r="P39" i="12" s="1"/>
  <c r="C39" i="12"/>
  <c r="T38" i="12"/>
  <c r="S37" i="12"/>
  <c r="L37" i="12"/>
  <c r="J37" i="12"/>
  <c r="H37" i="12"/>
  <c r="F37" i="12"/>
  <c r="E37" i="12"/>
  <c r="D37" i="12"/>
  <c r="S36" i="12"/>
  <c r="L36" i="12"/>
  <c r="J36" i="12"/>
  <c r="H36" i="12"/>
  <c r="F36" i="12"/>
  <c r="E36" i="12"/>
  <c r="E38" i="12" s="1"/>
  <c r="D36" i="12"/>
  <c r="P36" i="12" s="1"/>
  <c r="C36" i="12"/>
  <c r="T35" i="12"/>
  <c r="S34" i="12"/>
  <c r="L34" i="12"/>
  <c r="J34" i="12"/>
  <c r="H34" i="12"/>
  <c r="F34" i="12"/>
  <c r="E34" i="12"/>
  <c r="D34" i="12"/>
  <c r="P34" i="12" s="1"/>
  <c r="C34" i="12"/>
  <c r="S33" i="12"/>
  <c r="L33" i="12"/>
  <c r="J33" i="12"/>
  <c r="H33" i="12"/>
  <c r="F33" i="12"/>
  <c r="E33" i="12"/>
  <c r="D33" i="12"/>
  <c r="C33" i="12"/>
  <c r="S32" i="12"/>
  <c r="L32" i="12"/>
  <c r="J32" i="12"/>
  <c r="H32" i="12"/>
  <c r="F32" i="12"/>
  <c r="E32" i="12"/>
  <c r="E35" i="12" s="1"/>
  <c r="D32" i="12"/>
  <c r="P32" i="12" s="1"/>
  <c r="C32" i="12"/>
  <c r="T31" i="12"/>
  <c r="S30" i="12"/>
  <c r="L30" i="12"/>
  <c r="J30" i="12"/>
  <c r="H30" i="12"/>
  <c r="P30" i="12"/>
  <c r="S29" i="12"/>
  <c r="L29" i="12"/>
  <c r="J29" i="12"/>
  <c r="H29" i="12"/>
  <c r="P29" i="12"/>
  <c r="S28" i="12"/>
  <c r="L28" i="12"/>
  <c r="J28" i="12"/>
  <c r="H28" i="12"/>
  <c r="P28" i="12"/>
  <c r="S27" i="12"/>
  <c r="L27" i="12"/>
  <c r="J27" i="12"/>
  <c r="H27" i="12"/>
  <c r="P27" i="12"/>
  <c r="S26" i="12"/>
  <c r="L26" i="12"/>
  <c r="J26" i="12"/>
  <c r="H26" i="12"/>
  <c r="P26" i="12"/>
  <c r="S25" i="12"/>
  <c r="L25" i="12"/>
  <c r="J25" i="12"/>
  <c r="H25" i="12"/>
  <c r="P25" i="12"/>
  <c r="S24" i="12"/>
  <c r="L24" i="12"/>
  <c r="J24" i="12"/>
  <c r="H24" i="12"/>
  <c r="P24" i="12"/>
  <c r="S23" i="12"/>
  <c r="L23" i="12"/>
  <c r="J23" i="12"/>
  <c r="H23" i="12"/>
  <c r="P23" i="12"/>
  <c r="S22" i="12"/>
  <c r="L22" i="12"/>
  <c r="J22" i="12"/>
  <c r="H22" i="12"/>
  <c r="P22" i="12"/>
  <c r="S21" i="12"/>
  <c r="L21" i="12"/>
  <c r="P21" i="12" s="1"/>
  <c r="J21" i="12"/>
  <c r="H21" i="12"/>
  <c r="E31" i="12"/>
  <c r="T19" i="12"/>
  <c r="S18" i="12"/>
  <c r="J18" i="12"/>
  <c r="E18" i="12"/>
  <c r="S17" i="12"/>
  <c r="J17" i="12"/>
  <c r="E17" i="12"/>
  <c r="E19" i="12" s="1"/>
  <c r="T16" i="12"/>
  <c r="S15" i="12"/>
  <c r="J15" i="12"/>
  <c r="E15" i="12"/>
  <c r="S14" i="12"/>
  <c r="J14" i="12"/>
  <c r="E14" i="12"/>
  <c r="E16" i="12" s="1"/>
  <c r="T13" i="12"/>
  <c r="S12" i="12"/>
  <c r="J12" i="12"/>
  <c r="E12" i="12"/>
  <c r="S11" i="12"/>
  <c r="J11" i="12"/>
  <c r="E11" i="12"/>
  <c r="S9" i="12"/>
  <c r="J9" i="12"/>
  <c r="E9" i="12"/>
  <c r="S8" i="12"/>
  <c r="J8" i="12"/>
  <c r="E8" i="12"/>
  <c r="S7" i="12"/>
  <c r="J7" i="12"/>
  <c r="E7" i="12"/>
  <c r="S6" i="12"/>
  <c r="J6" i="12"/>
  <c r="E6" i="12"/>
  <c r="S5" i="12"/>
  <c r="J5" i="12"/>
  <c r="E5" i="12"/>
  <c r="S4" i="12"/>
  <c r="J4" i="12"/>
  <c r="E4" i="12"/>
  <c r="B2" i="12"/>
  <c r="G56" i="11"/>
  <c r="G30" i="11"/>
  <c r="H30" i="11" s="1"/>
  <c r="G15" i="11"/>
  <c r="G12" i="11"/>
  <c r="G9" i="11"/>
  <c r="EE66" i="1"/>
  <c r="EE67" i="1"/>
  <c r="EE68" i="1"/>
  <c r="EE69" i="1"/>
  <c r="EE70" i="1"/>
  <c r="EE71" i="1"/>
  <c r="EE72" i="1"/>
  <c r="EE73" i="1"/>
  <c r="EE74" i="1"/>
  <c r="EE75" i="1"/>
  <c r="EE76" i="1"/>
  <c r="EE77" i="1"/>
  <c r="EE78" i="1"/>
  <c r="EE65" i="1"/>
  <c r="DI66" i="1"/>
  <c r="DI67" i="1"/>
  <c r="DI68" i="1"/>
  <c r="DI69" i="1"/>
  <c r="DI70" i="1"/>
  <c r="DI71" i="1"/>
  <c r="DI72" i="1"/>
  <c r="DI73" i="1"/>
  <c r="DI74" i="1"/>
  <c r="DI75" i="1"/>
  <c r="DI76" i="1"/>
  <c r="DI77" i="1"/>
  <c r="DI78" i="1"/>
  <c r="DI65" i="1"/>
  <c r="CM66" i="1"/>
  <c r="CM67" i="1"/>
  <c r="CM68" i="1"/>
  <c r="CM69" i="1"/>
  <c r="CM70" i="1"/>
  <c r="CM71" i="1"/>
  <c r="CM72" i="1"/>
  <c r="CM73" i="1"/>
  <c r="CM74" i="1"/>
  <c r="CM75" i="1"/>
  <c r="CM76" i="1"/>
  <c r="CM77" i="1"/>
  <c r="CM78" i="1"/>
  <c r="CM65" i="1"/>
  <c r="BQ66" i="1"/>
  <c r="BQ67" i="1"/>
  <c r="BQ68" i="1"/>
  <c r="BQ69" i="1"/>
  <c r="BQ70" i="1"/>
  <c r="BQ71" i="1"/>
  <c r="BQ72" i="1"/>
  <c r="BQ73" i="1"/>
  <c r="BQ74" i="1"/>
  <c r="BQ75" i="1"/>
  <c r="BQ76" i="1"/>
  <c r="BQ77" i="1"/>
  <c r="BQ78" i="1"/>
  <c r="BQ65" i="1"/>
  <c r="AU66" i="1"/>
  <c r="AU67" i="1"/>
  <c r="AU68" i="1"/>
  <c r="AU69" i="1"/>
  <c r="AU70" i="1"/>
  <c r="AU71" i="1"/>
  <c r="AU72" i="1"/>
  <c r="AU73" i="1"/>
  <c r="AU74" i="1"/>
  <c r="AU75" i="1"/>
  <c r="AU76" i="1"/>
  <c r="AU77" i="1"/>
  <c r="AU78" i="1"/>
  <c r="AU65" i="1"/>
  <c r="Y75" i="1"/>
  <c r="Y76" i="1"/>
  <c r="Y77" i="1"/>
  <c r="Y78" i="1"/>
  <c r="Y71" i="1"/>
  <c r="Y72" i="1"/>
  <c r="Y73" i="1"/>
  <c r="Y74" i="1"/>
  <c r="Y66" i="1"/>
  <c r="Y67" i="1"/>
  <c r="Y68" i="1"/>
  <c r="Y69" i="1"/>
  <c r="Y70" i="1"/>
  <c r="Y65" i="1"/>
  <c r="C72" i="1"/>
  <c r="C73" i="1"/>
  <c r="C74" i="1"/>
  <c r="C75" i="1"/>
  <c r="C76" i="1"/>
  <c r="C77" i="1"/>
  <c r="C78" i="1"/>
  <c r="C66" i="1"/>
  <c r="C67" i="1"/>
  <c r="C68" i="1"/>
  <c r="C69" i="1"/>
  <c r="C70" i="1"/>
  <c r="C71" i="1"/>
  <c r="C65" i="1"/>
  <c r="IK66" i="1"/>
  <c r="IK67" i="1"/>
  <c r="IK68" i="1"/>
  <c r="IK69" i="1"/>
  <c r="IK70" i="1"/>
  <c r="IK71" i="1"/>
  <c r="IK72" i="1"/>
  <c r="IK73" i="1"/>
  <c r="IK74" i="1"/>
  <c r="IK75" i="1"/>
  <c r="IK76" i="1"/>
  <c r="IK77" i="1"/>
  <c r="IK78" i="1"/>
  <c r="IK65" i="1"/>
  <c r="HO74" i="1"/>
  <c r="HO75" i="1"/>
  <c r="HO76" i="1"/>
  <c r="HO77" i="1"/>
  <c r="HO78" i="1"/>
  <c r="HO69" i="1"/>
  <c r="HO70" i="1"/>
  <c r="HO71" i="1"/>
  <c r="HO72" i="1"/>
  <c r="HO73" i="1"/>
  <c r="HO66" i="1"/>
  <c r="HO67" i="1"/>
  <c r="HO68" i="1"/>
  <c r="HO65" i="1"/>
  <c r="GS76" i="1"/>
  <c r="GS77" i="1"/>
  <c r="GS78" i="1"/>
  <c r="GS73" i="1"/>
  <c r="GS74" i="1"/>
  <c r="GS75" i="1"/>
  <c r="GS72" i="1"/>
  <c r="GS71" i="1"/>
  <c r="GS70" i="1"/>
  <c r="GS66" i="1"/>
  <c r="GS67" i="1"/>
  <c r="GS68" i="1"/>
  <c r="GS69" i="1"/>
  <c r="GS65" i="1"/>
  <c r="FW78" i="1"/>
  <c r="FW77" i="1"/>
  <c r="FW76" i="1"/>
  <c r="FW75" i="1"/>
  <c r="FW74" i="1"/>
  <c r="FW73" i="1"/>
  <c r="FW72" i="1"/>
  <c r="FW71" i="1"/>
  <c r="FW70" i="1"/>
  <c r="FW69" i="1"/>
  <c r="FW68" i="1"/>
  <c r="FW67" i="1"/>
  <c r="FW66" i="1"/>
  <c r="FW65" i="1"/>
  <c r="FA74" i="1"/>
  <c r="FA75" i="1"/>
  <c r="FA76" i="1"/>
  <c r="FA77" i="1"/>
  <c r="FA78" i="1"/>
  <c r="FA70" i="1"/>
  <c r="FA71" i="1"/>
  <c r="FA72" i="1"/>
  <c r="FA73" i="1"/>
  <c r="FA66" i="1"/>
  <c r="FA67" i="1"/>
  <c r="FA68" i="1"/>
  <c r="FA69" i="1"/>
  <c r="FA65" i="1"/>
  <c r="C63" i="8"/>
  <c r="L4" i="8"/>
  <c r="FW39" i="1"/>
  <c r="FA39" i="1"/>
  <c r="R64" i="8"/>
  <c r="R65" i="8"/>
  <c r="R66" i="8"/>
  <c r="R67" i="8"/>
  <c r="R68" i="8"/>
  <c r="R69" i="8"/>
  <c r="R70" i="8"/>
  <c r="R71" i="8"/>
  <c r="R72" i="8"/>
  <c r="R73" i="8"/>
  <c r="R74" i="8"/>
  <c r="R75" i="8"/>
  <c r="R76" i="8"/>
  <c r="R63" i="8"/>
  <c r="R59" i="8"/>
  <c r="R60" i="8"/>
  <c r="R61" i="8"/>
  <c r="R58" i="8"/>
  <c r="R56" i="8"/>
  <c r="R55" i="8"/>
  <c r="R52" i="8"/>
  <c r="R53" i="8"/>
  <c r="R51" i="8"/>
  <c r="R49" i="8"/>
  <c r="R48" i="8"/>
  <c r="R46" i="8"/>
  <c r="R45" i="8"/>
  <c r="R43" i="8"/>
  <c r="R42" i="8"/>
  <c r="R40" i="8"/>
  <c r="R39" i="8"/>
  <c r="R37" i="8"/>
  <c r="R36" i="8"/>
  <c r="R33" i="8"/>
  <c r="R34" i="8"/>
  <c r="R32" i="8"/>
  <c r="R26" i="8"/>
  <c r="R27" i="8"/>
  <c r="R28" i="8"/>
  <c r="R29" i="8"/>
  <c r="R30" i="8"/>
  <c r="R22" i="8"/>
  <c r="R23" i="8"/>
  <c r="R24" i="8"/>
  <c r="R25" i="8"/>
  <c r="R21" i="8"/>
  <c r="R18" i="8"/>
  <c r="R17" i="8"/>
  <c r="R15" i="8"/>
  <c r="R14" i="8"/>
  <c r="R12" i="8"/>
  <c r="R11" i="8"/>
  <c r="R9" i="8"/>
  <c r="R8" i="8"/>
  <c r="R7" i="8"/>
  <c r="R6" i="8"/>
  <c r="R5" i="8"/>
  <c r="R4" i="8"/>
  <c r="D43" i="8"/>
  <c r="HP63" i="1"/>
  <c r="HP62" i="1"/>
  <c r="HP61" i="1"/>
  <c r="D4" i="8"/>
  <c r="D5" i="8"/>
  <c r="D9" i="8"/>
  <c r="D11" i="8"/>
  <c r="D14" i="8"/>
  <c r="D15" i="8"/>
  <c r="S78" i="1"/>
  <c r="S77" i="1"/>
  <c r="S76" i="1"/>
  <c r="S75" i="1"/>
  <c r="S74" i="1"/>
  <c r="S73" i="1"/>
  <c r="S72" i="1"/>
  <c r="S71" i="1"/>
  <c r="S70" i="1"/>
  <c r="S69" i="1"/>
  <c r="S68" i="1"/>
  <c r="S67" i="1"/>
  <c r="S66" i="1"/>
  <c r="S65" i="1"/>
  <c r="S79" i="1" s="1"/>
  <c r="S58" i="1"/>
  <c r="S57" i="1"/>
  <c r="S59" i="1" s="1"/>
  <c r="S55" i="1"/>
  <c r="S54" i="1"/>
  <c r="S53" i="1"/>
  <c r="S56" i="1" s="1"/>
  <c r="S51" i="1"/>
  <c r="S50" i="1"/>
  <c r="S52" i="1" s="1"/>
  <c r="S48" i="1"/>
  <c r="S47" i="1"/>
  <c r="S49" i="1" s="1"/>
  <c r="S45" i="1"/>
  <c r="S44" i="1"/>
  <c r="S46" i="1" s="1"/>
  <c r="S42" i="1"/>
  <c r="S41" i="1"/>
  <c r="S43" i="1" s="1"/>
  <c r="S39" i="1"/>
  <c r="S38" i="1"/>
  <c r="S40" i="1" s="1"/>
  <c r="S36" i="1"/>
  <c r="S35" i="1"/>
  <c r="S34" i="1"/>
  <c r="S37" i="1" s="1"/>
  <c r="S32" i="1"/>
  <c r="S31" i="1"/>
  <c r="S30" i="1"/>
  <c r="S29" i="1"/>
  <c r="S28" i="1"/>
  <c r="S27" i="1"/>
  <c r="S26" i="1"/>
  <c r="S25" i="1"/>
  <c r="S24" i="1"/>
  <c r="S23" i="1"/>
  <c r="S33" i="1" s="1"/>
  <c r="S20" i="1"/>
  <c r="S19" i="1"/>
  <c r="S21" i="1" s="1"/>
  <c r="S17" i="1"/>
  <c r="S16" i="1"/>
  <c r="S18" i="1" s="1"/>
  <c r="S14" i="1"/>
  <c r="S13" i="1"/>
  <c r="S15" i="1" s="1"/>
  <c r="S11" i="1"/>
  <c r="S10" i="1"/>
  <c r="S9" i="1"/>
  <c r="S8" i="1"/>
  <c r="S7" i="1"/>
  <c r="S6" i="1"/>
  <c r="S12" i="1" s="1"/>
  <c r="AO78" i="1"/>
  <c r="AO77" i="1"/>
  <c r="AO76" i="1"/>
  <c r="AO75" i="1"/>
  <c r="AO74" i="1"/>
  <c r="AO73" i="1"/>
  <c r="AO72" i="1"/>
  <c r="AO71" i="1"/>
  <c r="AO70" i="1"/>
  <c r="AO69" i="1"/>
  <c r="AO68" i="1"/>
  <c r="AO67" i="1"/>
  <c r="AO66" i="1"/>
  <c r="AO65" i="1"/>
  <c r="AO79" i="1" s="1"/>
  <c r="AO58" i="1"/>
  <c r="AO57" i="1"/>
  <c r="AO59" i="1" s="1"/>
  <c r="AO55" i="1"/>
  <c r="AO54" i="1"/>
  <c r="AO53" i="1"/>
  <c r="AO56" i="1" s="1"/>
  <c r="AO51" i="1"/>
  <c r="AO50" i="1"/>
  <c r="AO52" i="1" s="1"/>
  <c r="AO48" i="1"/>
  <c r="AO47" i="1"/>
  <c r="AO49" i="1" s="1"/>
  <c r="AO45" i="1"/>
  <c r="AO44" i="1"/>
  <c r="AO46" i="1" s="1"/>
  <c r="AO42" i="1"/>
  <c r="AO41" i="1"/>
  <c r="AO43" i="1" s="1"/>
  <c r="AO39" i="1"/>
  <c r="AO38" i="1"/>
  <c r="AO40" i="1" s="1"/>
  <c r="AO36" i="1"/>
  <c r="AO35" i="1"/>
  <c r="AO34" i="1"/>
  <c r="AO37" i="1" s="1"/>
  <c r="AO32" i="1"/>
  <c r="AO31" i="1"/>
  <c r="AO30" i="1"/>
  <c r="AO29" i="1"/>
  <c r="AO28" i="1"/>
  <c r="AO27" i="1"/>
  <c r="AO26" i="1"/>
  <c r="AO25" i="1"/>
  <c r="AO24" i="1"/>
  <c r="AO23" i="1"/>
  <c r="AO33" i="1" s="1"/>
  <c r="AO20" i="1"/>
  <c r="AO19" i="1"/>
  <c r="AO21" i="1" s="1"/>
  <c r="AO17" i="1"/>
  <c r="AO16" i="1"/>
  <c r="AO18" i="1" s="1"/>
  <c r="AO14" i="1"/>
  <c r="AO13" i="1"/>
  <c r="AO15" i="1" s="1"/>
  <c r="AO11" i="1"/>
  <c r="AO10" i="1"/>
  <c r="AO9" i="1"/>
  <c r="AO8" i="1"/>
  <c r="AO7" i="1"/>
  <c r="AO6" i="1"/>
  <c r="AO12" i="1" s="1"/>
  <c r="BK58" i="1"/>
  <c r="BK57" i="1"/>
  <c r="BK59" i="1" s="1"/>
  <c r="BK55" i="1"/>
  <c r="BK54" i="1"/>
  <c r="BK53" i="1"/>
  <c r="BK56" i="1" s="1"/>
  <c r="BK51" i="1"/>
  <c r="BK50" i="1"/>
  <c r="BK52" i="1" s="1"/>
  <c r="BK48" i="1"/>
  <c r="BK47" i="1"/>
  <c r="BK49" i="1" s="1"/>
  <c r="BK45" i="1"/>
  <c r="BK44" i="1"/>
  <c r="BK46" i="1" s="1"/>
  <c r="BK42" i="1"/>
  <c r="BK41" i="1"/>
  <c r="BK43" i="1" s="1"/>
  <c r="BK39" i="1"/>
  <c r="BK38" i="1"/>
  <c r="BK40" i="1" s="1"/>
  <c r="BK36" i="1"/>
  <c r="BK35" i="1"/>
  <c r="BK34" i="1"/>
  <c r="BK37" i="1" s="1"/>
  <c r="BK32" i="1"/>
  <c r="BK31" i="1"/>
  <c r="BK30" i="1"/>
  <c r="BK29" i="1"/>
  <c r="BK28" i="1"/>
  <c r="BK27" i="1"/>
  <c r="BK26" i="1"/>
  <c r="BK25" i="1"/>
  <c r="BK24" i="1"/>
  <c r="BK23" i="1"/>
  <c r="BK33" i="1" s="1"/>
  <c r="BK20" i="1"/>
  <c r="BK19" i="1"/>
  <c r="BK21" i="1" s="1"/>
  <c r="BK17" i="1"/>
  <c r="BK16" i="1"/>
  <c r="BK18" i="1" s="1"/>
  <c r="BK14" i="1"/>
  <c r="BK13" i="1"/>
  <c r="BK15" i="1" s="1"/>
  <c r="BK11" i="1"/>
  <c r="BK10" i="1"/>
  <c r="BK9" i="1"/>
  <c r="BK8" i="1"/>
  <c r="BK7" i="1"/>
  <c r="BK6" i="1"/>
  <c r="BK12" i="1" s="1"/>
  <c r="CG58" i="1"/>
  <c r="CG57" i="1"/>
  <c r="CG59" i="1" s="1"/>
  <c r="CG55" i="1"/>
  <c r="CG54" i="1"/>
  <c r="CG53" i="1"/>
  <c r="CG56" i="1" s="1"/>
  <c r="CG51" i="1"/>
  <c r="CG50" i="1"/>
  <c r="CG52" i="1" s="1"/>
  <c r="CG48" i="1"/>
  <c r="CG47" i="1"/>
  <c r="CG49" i="1" s="1"/>
  <c r="CG45" i="1"/>
  <c r="CG44" i="1"/>
  <c r="CG46" i="1" s="1"/>
  <c r="CG42" i="1"/>
  <c r="CG41" i="1"/>
  <c r="CG43" i="1" s="1"/>
  <c r="CG39" i="1"/>
  <c r="CG38" i="1"/>
  <c r="CG40" i="1" s="1"/>
  <c r="CG36" i="1"/>
  <c r="CG35" i="1"/>
  <c r="CG34" i="1"/>
  <c r="CG37" i="1" s="1"/>
  <c r="CG32" i="1"/>
  <c r="CG31" i="1"/>
  <c r="CG30" i="1"/>
  <c r="CG29" i="1"/>
  <c r="CG28" i="1"/>
  <c r="CG27" i="1"/>
  <c r="CG26" i="1"/>
  <c r="CG25" i="1"/>
  <c r="CG24" i="1"/>
  <c r="CG23" i="1"/>
  <c r="CG33" i="1" s="1"/>
  <c r="CG20" i="1"/>
  <c r="CG19" i="1"/>
  <c r="CG21" i="1" s="1"/>
  <c r="CG17" i="1"/>
  <c r="CG16" i="1"/>
  <c r="CG18" i="1" s="1"/>
  <c r="CG14" i="1"/>
  <c r="CG13" i="1"/>
  <c r="CG15" i="1" s="1"/>
  <c r="CG11" i="1"/>
  <c r="CG10" i="1"/>
  <c r="CG9" i="1"/>
  <c r="CG8" i="1"/>
  <c r="CG7" i="1"/>
  <c r="CG6" i="1"/>
  <c r="CG12" i="1" s="1"/>
  <c r="DC78" i="1"/>
  <c r="DC77" i="1"/>
  <c r="DC76" i="1"/>
  <c r="DC75" i="1"/>
  <c r="DC74" i="1"/>
  <c r="DC73" i="1"/>
  <c r="DC72" i="1"/>
  <c r="DC71" i="1"/>
  <c r="DC70" i="1"/>
  <c r="DC69" i="1"/>
  <c r="DC68" i="1"/>
  <c r="DC67" i="1"/>
  <c r="DC66" i="1"/>
  <c r="DC65" i="1"/>
  <c r="DC79" i="1" s="1"/>
  <c r="DC58" i="1"/>
  <c r="DC57" i="1"/>
  <c r="DC59" i="1" s="1"/>
  <c r="DC55" i="1"/>
  <c r="DC54" i="1"/>
  <c r="DC53" i="1"/>
  <c r="DC56" i="1" s="1"/>
  <c r="DC51" i="1"/>
  <c r="DC50" i="1"/>
  <c r="DC52" i="1" s="1"/>
  <c r="DC48" i="1"/>
  <c r="DC47" i="1"/>
  <c r="DC49" i="1" s="1"/>
  <c r="DC45" i="1"/>
  <c r="DC44" i="1"/>
  <c r="DC46" i="1" s="1"/>
  <c r="DC42" i="1"/>
  <c r="DC41" i="1"/>
  <c r="DC43" i="1" s="1"/>
  <c r="DC39" i="1"/>
  <c r="DC38" i="1"/>
  <c r="DC40" i="1" s="1"/>
  <c r="DC36" i="1"/>
  <c r="DC35" i="1"/>
  <c r="DC34" i="1"/>
  <c r="DC37" i="1" s="1"/>
  <c r="DC32" i="1"/>
  <c r="DC31" i="1"/>
  <c r="DC30" i="1"/>
  <c r="DC29" i="1"/>
  <c r="DC28" i="1"/>
  <c r="DC27" i="1"/>
  <c r="DC26" i="1"/>
  <c r="DC25" i="1"/>
  <c r="DC24" i="1"/>
  <c r="DC23" i="1"/>
  <c r="DC33" i="1" s="1"/>
  <c r="DC20" i="1"/>
  <c r="DC19" i="1"/>
  <c r="DC21" i="1" s="1"/>
  <c r="DC17" i="1"/>
  <c r="DC16" i="1"/>
  <c r="DC18" i="1" s="1"/>
  <c r="DC14" i="1"/>
  <c r="DC13" i="1"/>
  <c r="DC15" i="1" s="1"/>
  <c r="DC11" i="1"/>
  <c r="DC10" i="1"/>
  <c r="DC9" i="1"/>
  <c r="DC8" i="1"/>
  <c r="DC7" i="1"/>
  <c r="DC6" i="1"/>
  <c r="DC12" i="1" s="1"/>
  <c r="DY78" i="1"/>
  <c r="DY77" i="1"/>
  <c r="DY76" i="1"/>
  <c r="DY75" i="1"/>
  <c r="DY74" i="1"/>
  <c r="DY73" i="1"/>
  <c r="DY72" i="1"/>
  <c r="DY71" i="1"/>
  <c r="DY70" i="1"/>
  <c r="DY69" i="1"/>
  <c r="DY68" i="1"/>
  <c r="DY67" i="1"/>
  <c r="DY66" i="1"/>
  <c r="DY65" i="1"/>
  <c r="DY58" i="1"/>
  <c r="DY57" i="1"/>
  <c r="DY59" i="1" s="1"/>
  <c r="DY55" i="1"/>
  <c r="DY54" i="1"/>
  <c r="DY53" i="1"/>
  <c r="DY56" i="1" s="1"/>
  <c r="DY51" i="1"/>
  <c r="DY50" i="1"/>
  <c r="DY52" i="1" s="1"/>
  <c r="DY48" i="1"/>
  <c r="DY47" i="1"/>
  <c r="DY49" i="1" s="1"/>
  <c r="DY45" i="1"/>
  <c r="DY44" i="1"/>
  <c r="DY46" i="1" s="1"/>
  <c r="DY42" i="1"/>
  <c r="DY41" i="1"/>
  <c r="DY43" i="1" s="1"/>
  <c r="DY39" i="1"/>
  <c r="DY38" i="1"/>
  <c r="DY40" i="1" s="1"/>
  <c r="DY36" i="1"/>
  <c r="DY35" i="1"/>
  <c r="DY34" i="1"/>
  <c r="DY37" i="1" s="1"/>
  <c r="DY32" i="1"/>
  <c r="DY31" i="1"/>
  <c r="DY30" i="1"/>
  <c r="DY29" i="1"/>
  <c r="DY28" i="1"/>
  <c r="DY27" i="1"/>
  <c r="DY26" i="1"/>
  <c r="DY25" i="1"/>
  <c r="DY24" i="1"/>
  <c r="DY23" i="1"/>
  <c r="DY33" i="1" s="1"/>
  <c r="DY20" i="1"/>
  <c r="DY19" i="1"/>
  <c r="DY21" i="1" s="1"/>
  <c r="DY17" i="1"/>
  <c r="DY16" i="1"/>
  <c r="DY18" i="1" s="1"/>
  <c r="DY14" i="1"/>
  <c r="DY13" i="1"/>
  <c r="DY15" i="1" s="1"/>
  <c r="DY11" i="1"/>
  <c r="DY10" i="1"/>
  <c r="DY9" i="1"/>
  <c r="DY8" i="1"/>
  <c r="DY7" i="1"/>
  <c r="DY6" i="1"/>
  <c r="DY12" i="1" s="1"/>
  <c r="EU78" i="1"/>
  <c r="EU77" i="1"/>
  <c r="EU76" i="1"/>
  <c r="EU75" i="1"/>
  <c r="EU74" i="1"/>
  <c r="EU73" i="1"/>
  <c r="EU72" i="1"/>
  <c r="EU71" i="1"/>
  <c r="EU70" i="1"/>
  <c r="EU69" i="1"/>
  <c r="EU68" i="1"/>
  <c r="EU67" i="1"/>
  <c r="EU66" i="1"/>
  <c r="EU65" i="1"/>
  <c r="EU79" i="1" s="1"/>
  <c r="EU58" i="1"/>
  <c r="EU57" i="1"/>
  <c r="EU59" i="1" s="1"/>
  <c r="EU55" i="1"/>
  <c r="EU54" i="1"/>
  <c r="EU53" i="1"/>
  <c r="EU56" i="1" s="1"/>
  <c r="EU51" i="1"/>
  <c r="EU50" i="1"/>
  <c r="EU52" i="1" s="1"/>
  <c r="EU48" i="1"/>
  <c r="EU47" i="1"/>
  <c r="EU49" i="1" s="1"/>
  <c r="EU45" i="1"/>
  <c r="EU44" i="1"/>
  <c r="EU46" i="1" s="1"/>
  <c r="EU42" i="1"/>
  <c r="EU41" i="1"/>
  <c r="EU43" i="1" s="1"/>
  <c r="EU39" i="1"/>
  <c r="EU38" i="1"/>
  <c r="EU40" i="1" s="1"/>
  <c r="EU36" i="1"/>
  <c r="EU35" i="1"/>
  <c r="EU34" i="1"/>
  <c r="EU37" i="1" s="1"/>
  <c r="EU32" i="1"/>
  <c r="EU31" i="1"/>
  <c r="EU30" i="1"/>
  <c r="EU29" i="1"/>
  <c r="EU28" i="1"/>
  <c r="EU27" i="1"/>
  <c r="EU26" i="1"/>
  <c r="EU25" i="1"/>
  <c r="EU24" i="1"/>
  <c r="EU23" i="1"/>
  <c r="EU33" i="1" s="1"/>
  <c r="EU20" i="1"/>
  <c r="EU19" i="1"/>
  <c r="EU21" i="1" s="1"/>
  <c r="EU17" i="1"/>
  <c r="EU16" i="1"/>
  <c r="EU18" i="1" s="1"/>
  <c r="EU14" i="1"/>
  <c r="EU13" i="1"/>
  <c r="EU15" i="1" s="1"/>
  <c r="EU11" i="1"/>
  <c r="EU10" i="1"/>
  <c r="EU9" i="1"/>
  <c r="EU8" i="1"/>
  <c r="EU7" i="1"/>
  <c r="EU6" i="1"/>
  <c r="EU12" i="1" s="1"/>
  <c r="FQ78" i="1"/>
  <c r="FQ77" i="1"/>
  <c r="FQ76" i="1"/>
  <c r="FQ75" i="1"/>
  <c r="FQ74" i="1"/>
  <c r="FQ73" i="1"/>
  <c r="FQ72" i="1"/>
  <c r="FQ71" i="1"/>
  <c r="FQ70" i="1"/>
  <c r="FQ69" i="1"/>
  <c r="FQ68" i="1"/>
  <c r="FQ67" i="1"/>
  <c r="FQ66" i="1"/>
  <c r="FQ65" i="1"/>
  <c r="FQ79" i="1" s="1"/>
  <c r="FQ58" i="1"/>
  <c r="FQ57" i="1"/>
  <c r="FQ59" i="1" s="1"/>
  <c r="FQ55" i="1"/>
  <c r="FQ54" i="1"/>
  <c r="FQ53" i="1"/>
  <c r="FQ56" i="1" s="1"/>
  <c r="FQ51" i="1"/>
  <c r="FQ50" i="1"/>
  <c r="FQ52" i="1" s="1"/>
  <c r="FQ48" i="1"/>
  <c r="FQ47" i="1"/>
  <c r="FQ49" i="1" s="1"/>
  <c r="FQ45" i="1"/>
  <c r="FQ44" i="1"/>
  <c r="FQ46" i="1" s="1"/>
  <c r="FQ42" i="1"/>
  <c r="FQ41" i="1"/>
  <c r="FQ43" i="1" s="1"/>
  <c r="FQ39" i="1"/>
  <c r="FQ38" i="1"/>
  <c r="FQ40" i="1" s="1"/>
  <c r="FQ36" i="1"/>
  <c r="FQ35" i="1"/>
  <c r="FQ34" i="1"/>
  <c r="FQ37" i="1" s="1"/>
  <c r="FQ32" i="1"/>
  <c r="FQ31" i="1"/>
  <c r="FQ30" i="1"/>
  <c r="FQ29" i="1"/>
  <c r="FQ28" i="1"/>
  <c r="FQ27" i="1"/>
  <c r="FQ26" i="1"/>
  <c r="FQ25" i="1"/>
  <c r="FQ24" i="1"/>
  <c r="FQ23" i="1"/>
  <c r="FQ33" i="1" s="1"/>
  <c r="FQ20" i="1"/>
  <c r="FQ19" i="1"/>
  <c r="FQ21" i="1" s="1"/>
  <c r="FQ17" i="1"/>
  <c r="FQ16" i="1"/>
  <c r="FQ18" i="1" s="1"/>
  <c r="FQ14" i="1"/>
  <c r="FQ13" i="1"/>
  <c r="FQ15" i="1" s="1"/>
  <c r="FQ11" i="1"/>
  <c r="FQ10" i="1"/>
  <c r="FQ9" i="1"/>
  <c r="FQ8" i="1"/>
  <c r="FQ7" i="1"/>
  <c r="FQ6" i="1"/>
  <c r="FQ12" i="1" s="1"/>
  <c r="GM78" i="1"/>
  <c r="GM77" i="1"/>
  <c r="GM76" i="1"/>
  <c r="GM75" i="1"/>
  <c r="GM74" i="1"/>
  <c r="GM73" i="1"/>
  <c r="GM72" i="1"/>
  <c r="GM71" i="1"/>
  <c r="GM70" i="1"/>
  <c r="GM69" i="1"/>
  <c r="GM68" i="1"/>
  <c r="GM67" i="1"/>
  <c r="GM66" i="1"/>
  <c r="GM65" i="1"/>
  <c r="GM79" i="1" s="1"/>
  <c r="GM58" i="1"/>
  <c r="GM57" i="1"/>
  <c r="GM59" i="1" s="1"/>
  <c r="GM55" i="1"/>
  <c r="GM54" i="1"/>
  <c r="GM53" i="1"/>
  <c r="GM56" i="1" s="1"/>
  <c r="GM51" i="1"/>
  <c r="GM50" i="1"/>
  <c r="GM52" i="1" s="1"/>
  <c r="GM48" i="1"/>
  <c r="GM47" i="1"/>
  <c r="GM49" i="1" s="1"/>
  <c r="GM45" i="1"/>
  <c r="GM44" i="1"/>
  <c r="GM46" i="1" s="1"/>
  <c r="GM42" i="1"/>
  <c r="GM41" i="1"/>
  <c r="GM43" i="1" s="1"/>
  <c r="GM39" i="1"/>
  <c r="GM38" i="1"/>
  <c r="GM40" i="1" s="1"/>
  <c r="GM36" i="1"/>
  <c r="GM35" i="1"/>
  <c r="GM34" i="1"/>
  <c r="GM37" i="1" s="1"/>
  <c r="GM32" i="1"/>
  <c r="GM31" i="1"/>
  <c r="GM30" i="1"/>
  <c r="GM29" i="1"/>
  <c r="GM28" i="1"/>
  <c r="GM27" i="1"/>
  <c r="GM26" i="1"/>
  <c r="GM25" i="1"/>
  <c r="GM24" i="1"/>
  <c r="GM23" i="1"/>
  <c r="GM33" i="1" s="1"/>
  <c r="GM20" i="1"/>
  <c r="GM19" i="1"/>
  <c r="GM21" i="1" s="1"/>
  <c r="GM17" i="1"/>
  <c r="GM16" i="1"/>
  <c r="GM18" i="1" s="1"/>
  <c r="GM14" i="1"/>
  <c r="GM13" i="1"/>
  <c r="GM15" i="1" s="1"/>
  <c r="GM11" i="1"/>
  <c r="GM10" i="1"/>
  <c r="GM9" i="1"/>
  <c r="GM8" i="1"/>
  <c r="GM7" i="1"/>
  <c r="GM6" i="1"/>
  <c r="GM12" i="1" s="1"/>
  <c r="JA78" i="1"/>
  <c r="JA77" i="1"/>
  <c r="JA76" i="1"/>
  <c r="JA75" i="1"/>
  <c r="JA74" i="1"/>
  <c r="JA73" i="1"/>
  <c r="JA72" i="1"/>
  <c r="JA71" i="1"/>
  <c r="JA70" i="1"/>
  <c r="JA69" i="1"/>
  <c r="JA68" i="1"/>
  <c r="JA67" i="1"/>
  <c r="JA66" i="1"/>
  <c r="JA65" i="1"/>
  <c r="JA79" i="1" s="1"/>
  <c r="JA58" i="1"/>
  <c r="JA57" i="1"/>
  <c r="JA59" i="1" s="1"/>
  <c r="JA55" i="1"/>
  <c r="JA54" i="1"/>
  <c r="JA53" i="1"/>
  <c r="JA56" i="1" s="1"/>
  <c r="JA51" i="1"/>
  <c r="JA50" i="1"/>
  <c r="JA52" i="1" s="1"/>
  <c r="JA48" i="1"/>
  <c r="JA47" i="1"/>
  <c r="JA49" i="1" s="1"/>
  <c r="JA45" i="1"/>
  <c r="JA44" i="1"/>
  <c r="JA46" i="1" s="1"/>
  <c r="JA42" i="1"/>
  <c r="JA41" i="1"/>
  <c r="JA43" i="1" s="1"/>
  <c r="JA39" i="1"/>
  <c r="JA38" i="1"/>
  <c r="JA40" i="1" s="1"/>
  <c r="JA36" i="1"/>
  <c r="JA35" i="1"/>
  <c r="JA34" i="1"/>
  <c r="JA37" i="1" s="1"/>
  <c r="JA32" i="1"/>
  <c r="JA31" i="1"/>
  <c r="JA30" i="1"/>
  <c r="JA29" i="1"/>
  <c r="JA28" i="1"/>
  <c r="JA27" i="1"/>
  <c r="JA26" i="1"/>
  <c r="JA25" i="1"/>
  <c r="JA24" i="1"/>
  <c r="JA23" i="1"/>
  <c r="JA33" i="1" s="1"/>
  <c r="JA20" i="1"/>
  <c r="JA19" i="1"/>
  <c r="JA21" i="1" s="1"/>
  <c r="JA17" i="1"/>
  <c r="JA16" i="1"/>
  <c r="JA18" i="1" s="1"/>
  <c r="JA14" i="1"/>
  <c r="JA13" i="1"/>
  <c r="JA15" i="1" s="1"/>
  <c r="JA11" i="1"/>
  <c r="JA10" i="1"/>
  <c r="JA9" i="1"/>
  <c r="JA8" i="1"/>
  <c r="JA7" i="1"/>
  <c r="JA6" i="1"/>
  <c r="JA12" i="1" s="1"/>
  <c r="IE78" i="1"/>
  <c r="IE77" i="1"/>
  <c r="IE76" i="1"/>
  <c r="IE75" i="1"/>
  <c r="IE74" i="1"/>
  <c r="IE73" i="1"/>
  <c r="IE72" i="1"/>
  <c r="IE71" i="1"/>
  <c r="IE70" i="1"/>
  <c r="IE69" i="1"/>
  <c r="IE68" i="1"/>
  <c r="IE67" i="1"/>
  <c r="IE66" i="1"/>
  <c r="IE65" i="1"/>
  <c r="IE79" i="1" s="1"/>
  <c r="IE58" i="1"/>
  <c r="IE59" i="1"/>
  <c r="IE55" i="1"/>
  <c r="IE54" i="1"/>
  <c r="IE53" i="1"/>
  <c r="IE56" i="1" s="1"/>
  <c r="IE51" i="1"/>
  <c r="IE50" i="1"/>
  <c r="IE52" i="1" s="1"/>
  <c r="IE48" i="1"/>
  <c r="IE47" i="1"/>
  <c r="IE49" i="1" s="1"/>
  <c r="IE45" i="1"/>
  <c r="IE44" i="1"/>
  <c r="IE46" i="1" s="1"/>
  <c r="IE42" i="1"/>
  <c r="IE41" i="1"/>
  <c r="IE43" i="1" s="1"/>
  <c r="IE39" i="1"/>
  <c r="IE38" i="1"/>
  <c r="IE40" i="1" s="1"/>
  <c r="IE36" i="1"/>
  <c r="IE35" i="1"/>
  <c r="IE34" i="1"/>
  <c r="IE37" i="1" s="1"/>
  <c r="IE32" i="1"/>
  <c r="IE31" i="1"/>
  <c r="IE30" i="1"/>
  <c r="IE29" i="1"/>
  <c r="IE28" i="1"/>
  <c r="IE27" i="1"/>
  <c r="IE26" i="1"/>
  <c r="IE25" i="1"/>
  <c r="IE24" i="1"/>
  <c r="IE23" i="1"/>
  <c r="IE33" i="1" s="1"/>
  <c r="IE20" i="1"/>
  <c r="IE19" i="1"/>
  <c r="IE21" i="1" s="1"/>
  <c r="IE17" i="1"/>
  <c r="IE16" i="1"/>
  <c r="IE18" i="1" s="1"/>
  <c r="IE14" i="1"/>
  <c r="IE13" i="1"/>
  <c r="IE15" i="1" s="1"/>
  <c r="IE11" i="1"/>
  <c r="IE10" i="1"/>
  <c r="IE9" i="1"/>
  <c r="IE8" i="1"/>
  <c r="IE7" i="1"/>
  <c r="IE6" i="1"/>
  <c r="IE12" i="1" s="1"/>
  <c r="HI55" i="1"/>
  <c r="HI67" i="1"/>
  <c r="HI68" i="1"/>
  <c r="HI69" i="1"/>
  <c r="HI70" i="1"/>
  <c r="HI71" i="1"/>
  <c r="HI72" i="1"/>
  <c r="HI73" i="1"/>
  <c r="HI74" i="1"/>
  <c r="HI75" i="1"/>
  <c r="HI76" i="1"/>
  <c r="HI77" i="1"/>
  <c r="HI78" i="1"/>
  <c r="HI66" i="1"/>
  <c r="HI65" i="1"/>
  <c r="HI79" i="1" s="1"/>
  <c r="HI58" i="1"/>
  <c r="HI57" i="1"/>
  <c r="HI59" i="1" s="1"/>
  <c r="HI54" i="1"/>
  <c r="HI53" i="1"/>
  <c r="HI56" i="1" s="1"/>
  <c r="HI51" i="1"/>
  <c r="HI50" i="1"/>
  <c r="HI52" i="1" s="1"/>
  <c r="HI48" i="1"/>
  <c r="HI47" i="1"/>
  <c r="HI49" i="1" s="1"/>
  <c r="HI45" i="1"/>
  <c r="HI44" i="1"/>
  <c r="HI46" i="1" s="1"/>
  <c r="HI42" i="1"/>
  <c r="HI41" i="1"/>
  <c r="HI43" i="1" s="1"/>
  <c r="HI39" i="1"/>
  <c r="HI38" i="1"/>
  <c r="HI40" i="1" s="1"/>
  <c r="HI36" i="1"/>
  <c r="HI35" i="1"/>
  <c r="HI34" i="1"/>
  <c r="HI37" i="1" s="1"/>
  <c r="HI29" i="1"/>
  <c r="HI30" i="1"/>
  <c r="HI31" i="1"/>
  <c r="HI32" i="1"/>
  <c r="HI28" i="1"/>
  <c r="HI27" i="1"/>
  <c r="HI26" i="1"/>
  <c r="HI25" i="1"/>
  <c r="HI24" i="1"/>
  <c r="HI23" i="1"/>
  <c r="HI33" i="1" s="1"/>
  <c r="HI20" i="1"/>
  <c r="HI19" i="1"/>
  <c r="HI21" i="1" s="1"/>
  <c r="HI17" i="1"/>
  <c r="HI16" i="1"/>
  <c r="HI18" i="1" s="1"/>
  <c r="HI14" i="1"/>
  <c r="HI13" i="1"/>
  <c r="HI15" i="1" s="1"/>
  <c r="HI7" i="1"/>
  <c r="HI8" i="1"/>
  <c r="HI9" i="1"/>
  <c r="HI10" i="1"/>
  <c r="HI11" i="1"/>
  <c r="HI6" i="1"/>
  <c r="HI12" i="1" s="1"/>
  <c r="D63" i="1"/>
  <c r="D62" i="1"/>
  <c r="D61" i="1"/>
  <c r="O61" i="1" s="1"/>
  <c r="D60" i="1"/>
  <c r="O60" i="1" s="1"/>
  <c r="C63" i="1"/>
  <c r="C62" i="1"/>
  <c r="C61" i="1"/>
  <c r="C60" i="1"/>
  <c r="AB63" i="1"/>
  <c r="AC63" i="1" s="1"/>
  <c r="AB62" i="1"/>
  <c r="AC62" i="1" s="1"/>
  <c r="AB61" i="1"/>
  <c r="AC61" i="1" s="1"/>
  <c r="Z63" i="1"/>
  <c r="AK63" i="1" s="1"/>
  <c r="Z62" i="1"/>
  <c r="AK62" i="1" s="1"/>
  <c r="Z61" i="1"/>
  <c r="AK61" i="1" s="1"/>
  <c r="Z60" i="1"/>
  <c r="AK60" i="1" s="1"/>
  <c r="Y63" i="1"/>
  <c r="Y62" i="1"/>
  <c r="Y61" i="1"/>
  <c r="Y60" i="1"/>
  <c r="AX63" i="1"/>
  <c r="AY63" i="1" s="1"/>
  <c r="AX62" i="1"/>
  <c r="AY62" i="1" s="1"/>
  <c r="AX61" i="1"/>
  <c r="AY61" i="1" s="1"/>
  <c r="AV63" i="1"/>
  <c r="BG63" i="1" s="1"/>
  <c r="AV62" i="1"/>
  <c r="BG62" i="1" s="1"/>
  <c r="AV61" i="1"/>
  <c r="BG61" i="1" s="1"/>
  <c r="AV60" i="1"/>
  <c r="BG60" i="1" s="1"/>
  <c r="AU63" i="1"/>
  <c r="AU62" i="1"/>
  <c r="AU61" i="1"/>
  <c r="AU60" i="1"/>
  <c r="BQ63" i="1"/>
  <c r="BQ62" i="1"/>
  <c r="BQ61" i="1"/>
  <c r="BQ60" i="1"/>
  <c r="BR63" i="1"/>
  <c r="CC63" i="1" s="1"/>
  <c r="BR62" i="1"/>
  <c r="CC62" i="1" s="1"/>
  <c r="BR61" i="1"/>
  <c r="CC61" i="1" s="1"/>
  <c r="BR60" i="1"/>
  <c r="CC60" i="1" s="1"/>
  <c r="CO63" i="1"/>
  <c r="CO62" i="1"/>
  <c r="CO61" i="1"/>
  <c r="CO60" i="1"/>
  <c r="CO64" i="1" s="1"/>
  <c r="CO59" i="1"/>
  <c r="CO56" i="1"/>
  <c r="CO52" i="1"/>
  <c r="CO49" i="1"/>
  <c r="CO46" i="1"/>
  <c r="CO40" i="1"/>
  <c r="CO37" i="1"/>
  <c r="DP79" i="1"/>
  <c r="DK79" i="1"/>
  <c r="DK63" i="1"/>
  <c r="DK62" i="1"/>
  <c r="DK61" i="1"/>
  <c r="DK60" i="1"/>
  <c r="DK64" i="1" s="1"/>
  <c r="DK59" i="1"/>
  <c r="DK56" i="1"/>
  <c r="DK52" i="1"/>
  <c r="DK49" i="1"/>
  <c r="DK46" i="1"/>
  <c r="DK37" i="1"/>
  <c r="DK40" i="1"/>
  <c r="DK43" i="1"/>
  <c r="DK33" i="1"/>
  <c r="DK21" i="1"/>
  <c r="DK18" i="1"/>
  <c r="DK15" i="1"/>
  <c r="DK12" i="1"/>
  <c r="DK22" i="1" s="1"/>
  <c r="HV79" i="1"/>
  <c r="HQ79" i="1"/>
  <c r="HQ63" i="1"/>
  <c r="HQ62" i="1"/>
  <c r="HQ61" i="1"/>
  <c r="HQ64" i="1" s="1"/>
  <c r="HQ59" i="1"/>
  <c r="HQ56" i="1"/>
  <c r="HQ52" i="1"/>
  <c r="HQ49" i="1"/>
  <c r="HQ46" i="1"/>
  <c r="HQ43" i="1"/>
  <c r="HQ40" i="1"/>
  <c r="HQ37" i="1"/>
  <c r="HQ33" i="1"/>
  <c r="HQ21" i="1"/>
  <c r="HQ18" i="1"/>
  <c r="HQ15" i="1"/>
  <c r="GU33" i="1"/>
  <c r="GD79" i="1"/>
  <c r="FY79" i="1"/>
  <c r="FY63" i="1"/>
  <c r="FY62" i="1"/>
  <c r="FY61" i="1"/>
  <c r="FY64" i="1" s="1"/>
  <c r="FY59" i="1"/>
  <c r="FY56" i="1"/>
  <c r="FY52" i="1"/>
  <c r="FY49" i="1"/>
  <c r="FY46" i="1"/>
  <c r="FY43" i="1"/>
  <c r="FY40" i="1"/>
  <c r="FY37" i="1"/>
  <c r="FY33" i="1"/>
  <c r="FY21" i="1"/>
  <c r="FY15" i="1"/>
  <c r="FC79" i="1"/>
  <c r="FH79" i="1"/>
  <c r="FC63" i="1"/>
  <c r="FC62" i="1"/>
  <c r="FC61" i="1"/>
  <c r="FC60" i="1"/>
  <c r="FC64" i="1" s="1"/>
  <c r="FC59" i="1"/>
  <c r="FC56" i="1"/>
  <c r="FC52" i="1"/>
  <c r="FC49" i="1"/>
  <c r="FC46" i="1"/>
  <c r="FC43" i="1"/>
  <c r="FC40" i="1"/>
  <c r="FC37" i="1"/>
  <c r="FC33" i="1"/>
  <c r="FC18" i="1"/>
  <c r="FC15" i="1"/>
  <c r="FC12" i="1"/>
  <c r="EL79" i="1"/>
  <c r="EG79" i="1"/>
  <c r="EG63" i="1"/>
  <c r="EG62" i="1"/>
  <c r="EG61" i="1"/>
  <c r="EG60" i="1"/>
  <c r="EG64" i="1" s="1"/>
  <c r="EG59" i="1"/>
  <c r="EG56" i="1"/>
  <c r="EG52" i="1"/>
  <c r="EG49" i="1"/>
  <c r="EG46" i="1"/>
  <c r="EG37" i="1"/>
  <c r="EG43" i="1"/>
  <c r="EG40" i="1"/>
  <c r="EG33" i="1"/>
  <c r="EG12" i="1"/>
  <c r="EG15" i="1"/>
  <c r="EG18" i="1"/>
  <c r="EG21" i="1"/>
  <c r="GU21" i="1"/>
  <c r="GU18" i="1"/>
  <c r="GU15" i="1"/>
  <c r="GU12" i="1"/>
  <c r="D63" i="8"/>
  <c r="D64" i="8"/>
  <c r="D65" i="8"/>
  <c r="D66" i="8"/>
  <c r="D67" i="8"/>
  <c r="D68" i="8"/>
  <c r="D69" i="8"/>
  <c r="D70" i="8"/>
  <c r="D71" i="8"/>
  <c r="D72" i="8"/>
  <c r="D73" i="8"/>
  <c r="D74" i="8"/>
  <c r="D75" i="8"/>
  <c r="D76" i="8"/>
  <c r="C64" i="8"/>
  <c r="C65" i="8"/>
  <c r="C66" i="8"/>
  <c r="C67" i="8"/>
  <c r="C68" i="8"/>
  <c r="C69" i="8"/>
  <c r="C70" i="8"/>
  <c r="C71" i="8"/>
  <c r="C72" i="8"/>
  <c r="C73" i="8"/>
  <c r="C74" i="8"/>
  <c r="C75" i="8"/>
  <c r="C76" i="8"/>
  <c r="D55" i="8"/>
  <c r="E55" i="8"/>
  <c r="D56" i="8"/>
  <c r="E56" i="8"/>
  <c r="C56" i="8"/>
  <c r="C55" i="8"/>
  <c r="D51" i="8"/>
  <c r="E51" i="8"/>
  <c r="D52" i="8"/>
  <c r="E52" i="8"/>
  <c r="D53" i="8"/>
  <c r="E53" i="8"/>
  <c r="C52" i="8"/>
  <c r="C53" i="8"/>
  <c r="C51" i="8"/>
  <c r="D48" i="8"/>
  <c r="E48" i="8"/>
  <c r="D49" i="8"/>
  <c r="E49" i="8"/>
  <c r="C49" i="8"/>
  <c r="C48" i="8"/>
  <c r="D45" i="8"/>
  <c r="E45" i="8"/>
  <c r="D46" i="8"/>
  <c r="E46" i="8"/>
  <c r="C46" i="8"/>
  <c r="C45" i="8"/>
  <c r="D42" i="8"/>
  <c r="E42" i="8"/>
  <c r="E43" i="8"/>
  <c r="C43" i="8"/>
  <c r="C42" i="8"/>
  <c r="D39" i="8"/>
  <c r="E39" i="8"/>
  <c r="D40" i="8"/>
  <c r="E40" i="8"/>
  <c r="C40" i="8"/>
  <c r="C39" i="8"/>
  <c r="D36" i="8"/>
  <c r="E36" i="8"/>
  <c r="D37" i="8"/>
  <c r="E37" i="8"/>
  <c r="C36" i="8"/>
  <c r="D32" i="8"/>
  <c r="E32" i="8"/>
  <c r="D33" i="8"/>
  <c r="E33" i="8"/>
  <c r="D34" i="8"/>
  <c r="E34" i="8"/>
  <c r="C33" i="8"/>
  <c r="C34" i="8"/>
  <c r="C32" i="8"/>
  <c r="D21" i="8"/>
  <c r="E21" i="8"/>
  <c r="D22" i="8"/>
  <c r="E22" i="8"/>
  <c r="D23" i="8"/>
  <c r="E23" i="8"/>
  <c r="D24" i="8"/>
  <c r="E24" i="8"/>
  <c r="D25" i="8"/>
  <c r="E25" i="8"/>
  <c r="D26" i="8"/>
  <c r="E26" i="8"/>
  <c r="D27" i="8"/>
  <c r="E27" i="8"/>
  <c r="D28" i="8"/>
  <c r="E28" i="8"/>
  <c r="D29" i="8"/>
  <c r="E29" i="8"/>
  <c r="D30" i="8"/>
  <c r="E30" i="8"/>
  <c r="D17" i="8"/>
  <c r="E17" i="8"/>
  <c r="D18" i="8"/>
  <c r="E18" i="8"/>
  <c r="E11" i="8"/>
  <c r="D12" i="8"/>
  <c r="E12" i="8"/>
  <c r="E14" i="8"/>
  <c r="E15" i="8"/>
  <c r="F64" i="8"/>
  <c r="F65" i="8"/>
  <c r="F66" i="8"/>
  <c r="F67" i="8"/>
  <c r="F68" i="8"/>
  <c r="F69" i="8"/>
  <c r="F70" i="8"/>
  <c r="F71" i="8"/>
  <c r="F72" i="8"/>
  <c r="F73" i="8"/>
  <c r="F74" i="8"/>
  <c r="F75" i="8"/>
  <c r="F76" i="8"/>
  <c r="F63" i="8"/>
  <c r="F56" i="8"/>
  <c r="F55" i="8"/>
  <c r="F52" i="8"/>
  <c r="F53" i="8"/>
  <c r="F51" i="8"/>
  <c r="F49" i="8"/>
  <c r="F48" i="8"/>
  <c r="F46" i="8"/>
  <c r="F45" i="8"/>
  <c r="F43" i="8"/>
  <c r="F42" i="8"/>
  <c r="F40" i="8"/>
  <c r="F39" i="8"/>
  <c r="F37" i="8"/>
  <c r="F36" i="8"/>
  <c r="F33" i="8"/>
  <c r="F34" i="8"/>
  <c r="F32" i="8"/>
  <c r="F22" i="8"/>
  <c r="F23" i="8"/>
  <c r="F24" i="8"/>
  <c r="F25" i="8"/>
  <c r="F26" i="8"/>
  <c r="F27" i="8"/>
  <c r="F28" i="8"/>
  <c r="F29" i="8"/>
  <c r="F30" i="8"/>
  <c r="F21" i="8"/>
  <c r="F18" i="8"/>
  <c r="F17" i="8"/>
  <c r="F15" i="8"/>
  <c r="F14" i="8"/>
  <c r="F12" i="8"/>
  <c r="F11" i="8"/>
  <c r="H64" i="8"/>
  <c r="H65" i="8"/>
  <c r="H66" i="8"/>
  <c r="H67" i="8"/>
  <c r="H68" i="8"/>
  <c r="H69" i="8"/>
  <c r="H70" i="8"/>
  <c r="H71" i="8"/>
  <c r="H72" i="8"/>
  <c r="H73" i="8"/>
  <c r="H74" i="8"/>
  <c r="H75" i="8"/>
  <c r="H76" i="8"/>
  <c r="H63" i="8"/>
  <c r="H56" i="8"/>
  <c r="H55" i="8"/>
  <c r="H52" i="8"/>
  <c r="H53" i="8"/>
  <c r="H51" i="8"/>
  <c r="H49" i="8"/>
  <c r="H48" i="8"/>
  <c r="H46" i="8"/>
  <c r="H45" i="8"/>
  <c r="H43" i="8"/>
  <c r="H42" i="8"/>
  <c r="H40" i="8"/>
  <c r="H39" i="8"/>
  <c r="H37" i="8"/>
  <c r="H36" i="8"/>
  <c r="H33" i="8"/>
  <c r="H34" i="8"/>
  <c r="H32" i="8"/>
  <c r="H22" i="8"/>
  <c r="H23" i="8"/>
  <c r="H24" i="8"/>
  <c r="H25" i="8"/>
  <c r="H26" i="8"/>
  <c r="H27" i="8"/>
  <c r="H28" i="8"/>
  <c r="H29" i="8"/>
  <c r="H30" i="8"/>
  <c r="H21" i="8"/>
  <c r="L64" i="8"/>
  <c r="L65" i="8"/>
  <c r="L66" i="8"/>
  <c r="L67" i="8"/>
  <c r="L68" i="8"/>
  <c r="L69" i="8"/>
  <c r="L70" i="8"/>
  <c r="L71" i="8"/>
  <c r="L72" i="8"/>
  <c r="L73" i="8"/>
  <c r="L74" i="8"/>
  <c r="L75" i="8"/>
  <c r="L76" i="8"/>
  <c r="L63" i="8"/>
  <c r="L59" i="8"/>
  <c r="L60" i="8"/>
  <c r="L61" i="8"/>
  <c r="L58" i="8"/>
  <c r="L56" i="8"/>
  <c r="L55" i="8"/>
  <c r="L52" i="8"/>
  <c r="L53" i="8"/>
  <c r="L51" i="8"/>
  <c r="L49" i="8"/>
  <c r="L48" i="8"/>
  <c r="L46" i="8"/>
  <c r="L45" i="8"/>
  <c r="L43" i="8"/>
  <c r="L42" i="8"/>
  <c r="L40" i="8"/>
  <c r="L39" i="8"/>
  <c r="L37" i="8"/>
  <c r="L36" i="8"/>
  <c r="L33" i="8"/>
  <c r="L34" i="8"/>
  <c r="L32" i="8"/>
  <c r="L22" i="8"/>
  <c r="L23" i="8"/>
  <c r="L24" i="8"/>
  <c r="L25" i="8"/>
  <c r="L26" i="8"/>
  <c r="L27" i="8"/>
  <c r="L28" i="8"/>
  <c r="L29" i="8"/>
  <c r="L30" i="8"/>
  <c r="L21" i="8"/>
  <c r="HV59" i="1"/>
  <c r="HV64" i="1"/>
  <c r="HV56" i="1"/>
  <c r="HV52" i="1"/>
  <c r="HV49" i="1"/>
  <c r="HV46" i="1"/>
  <c r="HV43" i="1"/>
  <c r="HV40" i="1"/>
  <c r="HV37" i="1"/>
  <c r="CT64" i="1"/>
  <c r="CT37" i="1"/>
  <c r="CT40" i="1"/>
  <c r="CT46" i="1"/>
  <c r="CT49" i="1"/>
  <c r="CT52" i="1"/>
  <c r="CT56" i="1"/>
  <c r="CT59" i="1"/>
  <c r="DQ48" i="1"/>
  <c r="DQ47" i="1"/>
  <c r="DP59" i="1"/>
  <c r="DP37" i="1"/>
  <c r="DP40" i="1"/>
  <c r="DP43" i="1"/>
  <c r="DP46" i="1"/>
  <c r="DP49" i="1"/>
  <c r="DP52" i="1"/>
  <c r="DP56" i="1"/>
  <c r="DP64" i="1"/>
  <c r="DP33" i="1"/>
  <c r="EL37" i="1"/>
  <c r="EL40" i="1"/>
  <c r="EL43" i="1"/>
  <c r="EL46" i="1"/>
  <c r="EL49" i="1"/>
  <c r="EL52" i="1"/>
  <c r="EL56" i="1"/>
  <c r="EL59" i="1"/>
  <c r="EL64" i="1"/>
  <c r="EL33" i="1"/>
  <c r="FH37" i="1"/>
  <c r="FH40" i="1"/>
  <c r="FH43" i="1"/>
  <c r="FH46" i="1"/>
  <c r="FH49" i="1"/>
  <c r="FH52" i="1"/>
  <c r="FH56" i="1"/>
  <c r="FH59" i="1"/>
  <c r="FH33" i="1"/>
  <c r="FH64" i="1"/>
  <c r="GD64" i="1"/>
  <c r="GD59" i="1"/>
  <c r="GD56" i="1"/>
  <c r="GD52" i="1"/>
  <c r="GD49" i="1"/>
  <c r="GD46" i="1"/>
  <c r="GD43" i="1"/>
  <c r="GD40" i="1"/>
  <c r="GD37" i="1"/>
  <c r="GD33" i="1"/>
  <c r="HV33" i="1"/>
  <c r="HV21" i="1"/>
  <c r="HV18" i="1"/>
  <c r="HV15" i="1"/>
  <c r="J64" i="8"/>
  <c r="J65" i="8"/>
  <c r="J66" i="8"/>
  <c r="J67" i="8"/>
  <c r="J68" i="8"/>
  <c r="J69" i="8"/>
  <c r="J70" i="8"/>
  <c r="J71" i="8"/>
  <c r="J72" i="8"/>
  <c r="J73" i="8"/>
  <c r="J74" i="8"/>
  <c r="J75" i="8"/>
  <c r="J76" i="8"/>
  <c r="J63" i="8"/>
  <c r="J56" i="8"/>
  <c r="J55" i="8"/>
  <c r="J52" i="8"/>
  <c r="J53" i="8"/>
  <c r="J51" i="8"/>
  <c r="J49" i="8"/>
  <c r="J48" i="8"/>
  <c r="J46" i="8"/>
  <c r="J45" i="8"/>
  <c r="J43" i="8"/>
  <c r="J42" i="8"/>
  <c r="J40" i="8"/>
  <c r="J39" i="8"/>
  <c r="J37" i="8"/>
  <c r="J36" i="8"/>
  <c r="J33" i="8"/>
  <c r="J34" i="8"/>
  <c r="J32" i="8"/>
  <c r="J22" i="8"/>
  <c r="J23" i="8"/>
  <c r="J24" i="8"/>
  <c r="J25" i="8"/>
  <c r="J26" i="8"/>
  <c r="J27" i="8"/>
  <c r="J28" i="8"/>
  <c r="J29" i="8"/>
  <c r="J30" i="8"/>
  <c r="J21" i="8"/>
  <c r="L18" i="8"/>
  <c r="L17" i="8"/>
  <c r="L15" i="8"/>
  <c r="L14" i="8"/>
  <c r="L12" i="8"/>
  <c r="L11" i="8"/>
  <c r="L5" i="8"/>
  <c r="L6" i="8"/>
  <c r="L7" i="8"/>
  <c r="L8" i="8"/>
  <c r="L9" i="8"/>
  <c r="DP21" i="1"/>
  <c r="DP18" i="1"/>
  <c r="DP15" i="1"/>
  <c r="DP12" i="1"/>
  <c r="DP22" i="1" s="1"/>
  <c r="EL21" i="1"/>
  <c r="EL18" i="1"/>
  <c r="EL15" i="1"/>
  <c r="EL12" i="1"/>
  <c r="FC21" i="1"/>
  <c r="FH21" i="1"/>
  <c r="FH18" i="1"/>
  <c r="FH15" i="1"/>
  <c r="FH12" i="1"/>
  <c r="GD21" i="1"/>
  <c r="GD18" i="1"/>
  <c r="FY18" i="1"/>
  <c r="GD15" i="1"/>
  <c r="GD12" i="1"/>
  <c r="FY12" i="1"/>
  <c r="GU56" i="1"/>
  <c r="GU52" i="1"/>
  <c r="GU49" i="1"/>
  <c r="GU46" i="1"/>
  <c r="GU43" i="1"/>
  <c r="GU40" i="1"/>
  <c r="GU37" i="1"/>
  <c r="GU59" i="1"/>
  <c r="GU63" i="1"/>
  <c r="GU62" i="1"/>
  <c r="GU61" i="1"/>
  <c r="GU64" i="1" s="1"/>
  <c r="GU79" i="1"/>
  <c r="GZ79" i="1"/>
  <c r="GZ64" i="1"/>
  <c r="GZ59" i="1"/>
  <c r="GZ56" i="1"/>
  <c r="GZ52" i="1"/>
  <c r="GZ49" i="1"/>
  <c r="GZ46" i="1"/>
  <c r="GZ43" i="1"/>
  <c r="GZ40" i="1"/>
  <c r="GZ37" i="1"/>
  <c r="GZ33" i="1"/>
  <c r="GZ21" i="1"/>
  <c r="GZ18" i="1"/>
  <c r="GZ15" i="1"/>
  <c r="GZ12" i="1"/>
  <c r="J18" i="8"/>
  <c r="J17" i="8"/>
  <c r="J15" i="8"/>
  <c r="J14" i="8"/>
  <c r="J12" i="8"/>
  <c r="J11" i="8"/>
  <c r="H18" i="8"/>
  <c r="H17" i="8"/>
  <c r="H15" i="8"/>
  <c r="H14" i="8"/>
  <c r="H12" i="8"/>
  <c r="H11" i="8"/>
  <c r="J5" i="8"/>
  <c r="J6" i="8"/>
  <c r="J7" i="8"/>
  <c r="J8" i="8"/>
  <c r="J9" i="8"/>
  <c r="J4" i="8"/>
  <c r="H9" i="8"/>
  <c r="H8" i="8"/>
  <c r="H7" i="8"/>
  <c r="H6" i="8"/>
  <c r="H5" i="8"/>
  <c r="H4" i="8"/>
  <c r="F9" i="8"/>
  <c r="F8" i="8"/>
  <c r="F7" i="8"/>
  <c r="F6" i="8"/>
  <c r="F5" i="8"/>
  <c r="F4" i="8"/>
  <c r="E5" i="8"/>
  <c r="E6" i="8"/>
  <c r="E7" i="8"/>
  <c r="E8" i="8"/>
  <c r="E9" i="8"/>
  <c r="D6" i="8"/>
  <c r="O6" i="8" s="1"/>
  <c r="D7" i="8"/>
  <c r="O7" i="8" s="1"/>
  <c r="D8" i="8"/>
  <c r="O8" i="8" s="1"/>
  <c r="E4" i="8"/>
  <c r="HQ12" i="1"/>
  <c r="HV12" i="1"/>
  <c r="JB64" i="1"/>
  <c r="IT64" i="1"/>
  <c r="IR61" i="1"/>
  <c r="IP64" i="1"/>
  <c r="IN63" i="1"/>
  <c r="IO63" i="1" s="1"/>
  <c r="IN62" i="1"/>
  <c r="IO62" i="1" s="1"/>
  <c r="IM63" i="1"/>
  <c r="IM62" i="1"/>
  <c r="IM61" i="1"/>
  <c r="IM64" i="1" s="1"/>
  <c r="IL63" i="1"/>
  <c r="IW63" i="1" s="1"/>
  <c r="IL62" i="1"/>
  <c r="IW62" i="1" s="1"/>
  <c r="IL61" i="1"/>
  <c r="IW61" i="1" s="1"/>
  <c r="IK63" i="1"/>
  <c r="IK62" i="1"/>
  <c r="IK61" i="1"/>
  <c r="IN60" i="1"/>
  <c r="IW60" i="1" s="1"/>
  <c r="IT59" i="1"/>
  <c r="IR59" i="1"/>
  <c r="IP59" i="1"/>
  <c r="IM59" i="1"/>
  <c r="JB59" i="1"/>
  <c r="JB56" i="1"/>
  <c r="IR56" i="1"/>
  <c r="IM56" i="1"/>
  <c r="IT52" i="1"/>
  <c r="IR52" i="1"/>
  <c r="IP52" i="1"/>
  <c r="IM52" i="1"/>
  <c r="IT49" i="1"/>
  <c r="IR49" i="1"/>
  <c r="IP49" i="1"/>
  <c r="IN49" i="1"/>
  <c r="IM49" i="1"/>
  <c r="IL49" i="1"/>
  <c r="IK49" i="1"/>
  <c r="IT46" i="1"/>
  <c r="IR46" i="1"/>
  <c r="IP46" i="1"/>
  <c r="IM46" i="1"/>
  <c r="IT43" i="1"/>
  <c r="IR43" i="1"/>
  <c r="IP43" i="1"/>
  <c r="IM43" i="1"/>
  <c r="IT40" i="1"/>
  <c r="IR40" i="1"/>
  <c r="IP40" i="1"/>
  <c r="JB79" i="1"/>
  <c r="IT79" i="1"/>
  <c r="IR79" i="1"/>
  <c r="IP79" i="1"/>
  <c r="IL79" i="1"/>
  <c r="IK79" i="1"/>
  <c r="IN79" i="1"/>
  <c r="IM79" i="1"/>
  <c r="JB52" i="1"/>
  <c r="JB49" i="1"/>
  <c r="JB46" i="1"/>
  <c r="JB43" i="1"/>
  <c r="JB40" i="1"/>
  <c r="JB37" i="1"/>
  <c r="IR37" i="1"/>
  <c r="IM40" i="1"/>
  <c r="IM37" i="1"/>
  <c r="JB33" i="1"/>
  <c r="IT33" i="1"/>
  <c r="IR33" i="1"/>
  <c r="IP33" i="1"/>
  <c r="IL33" i="1"/>
  <c r="IM33" i="1"/>
  <c r="IN33" i="1"/>
  <c r="IK33" i="1"/>
  <c r="IT21" i="1"/>
  <c r="IR21" i="1"/>
  <c r="IP21" i="1"/>
  <c r="IM21" i="1"/>
  <c r="JB21" i="1"/>
  <c r="IT18" i="1"/>
  <c r="IR18" i="1"/>
  <c r="IP18" i="1"/>
  <c r="IM18" i="1"/>
  <c r="JB18" i="1"/>
  <c r="IT15" i="1"/>
  <c r="IR15" i="1"/>
  <c r="IP15" i="1"/>
  <c r="IM15" i="1"/>
  <c r="JB15" i="1"/>
  <c r="B2" i="8"/>
  <c r="JB12" i="1"/>
  <c r="JB22" i="1" s="1"/>
  <c r="IT12" i="1"/>
  <c r="IT22" i="1" s="1"/>
  <c r="IR12" i="1"/>
  <c r="IR22" i="1" s="1"/>
  <c r="IP12" i="1"/>
  <c r="IP22" i="1" s="1"/>
  <c r="IN12" i="1"/>
  <c r="IM12" i="1"/>
  <c r="IM22" i="1" s="1"/>
  <c r="IL12" i="1"/>
  <c r="IK12" i="1"/>
  <c r="CO79" i="1"/>
  <c r="CT79" i="1"/>
  <c r="CT43" i="1"/>
  <c r="CO43" i="1"/>
  <c r="CT33" i="1"/>
  <c r="CO33" i="1"/>
  <c r="CT21" i="1"/>
  <c r="CO21" i="1"/>
  <c r="CT18" i="1"/>
  <c r="CO18" i="1"/>
  <c r="CT15" i="1"/>
  <c r="CO15" i="1"/>
  <c r="CT12" i="1"/>
  <c r="CO12" i="1"/>
  <c r="BX64" i="1"/>
  <c r="BS63" i="1"/>
  <c r="BS62" i="1"/>
  <c r="BS61" i="1"/>
  <c r="BS60" i="1"/>
  <c r="BS64" i="1" s="1"/>
  <c r="BX59" i="1"/>
  <c r="BS59" i="1"/>
  <c r="BX79" i="1"/>
  <c r="BS78" i="1"/>
  <c r="CG78" i="1" s="1"/>
  <c r="BS77" i="1"/>
  <c r="CG77" i="1" s="1"/>
  <c r="BS76" i="1"/>
  <c r="CG76" i="1" s="1"/>
  <c r="BS75" i="1"/>
  <c r="CG75" i="1" s="1"/>
  <c r="BS74" i="1"/>
  <c r="CG74" i="1" s="1"/>
  <c r="BS73" i="1"/>
  <c r="CG73" i="1" s="1"/>
  <c r="BS72" i="1"/>
  <c r="CG72" i="1" s="1"/>
  <c r="BS71" i="1"/>
  <c r="CG71" i="1" s="1"/>
  <c r="BS70" i="1"/>
  <c r="CG70" i="1" s="1"/>
  <c r="BS69" i="1"/>
  <c r="CG69" i="1" s="1"/>
  <c r="BS68" i="1"/>
  <c r="CG68" i="1" s="1"/>
  <c r="BS67" i="1"/>
  <c r="CG67" i="1" s="1"/>
  <c r="BS66" i="1"/>
  <c r="CG66" i="1" s="1"/>
  <c r="BS65" i="1"/>
  <c r="BX56" i="1"/>
  <c r="BS56" i="1"/>
  <c r="BX52" i="1"/>
  <c r="BS52" i="1"/>
  <c r="BX49" i="1"/>
  <c r="BS49" i="1"/>
  <c r="BX46" i="1"/>
  <c r="BS46" i="1"/>
  <c r="BX43" i="1"/>
  <c r="BS43" i="1"/>
  <c r="BX40" i="1"/>
  <c r="BS40" i="1"/>
  <c r="BQ39" i="1"/>
  <c r="BX37" i="1"/>
  <c r="BS37" i="1"/>
  <c r="BX33" i="1"/>
  <c r="BS33" i="1"/>
  <c r="BX21" i="1"/>
  <c r="BS21" i="1"/>
  <c r="BS18" i="1"/>
  <c r="BX18" i="1"/>
  <c r="BX15" i="1"/>
  <c r="BS15" i="1"/>
  <c r="BS12" i="1"/>
  <c r="BX12" i="1"/>
  <c r="BB62" i="1"/>
  <c r="BC62" i="1" s="1"/>
  <c r="AW62" i="1"/>
  <c r="AW63" i="1"/>
  <c r="AW61" i="1"/>
  <c r="AW60" i="1"/>
  <c r="AW64" i="1" s="1"/>
  <c r="BB59" i="1"/>
  <c r="AW59" i="1"/>
  <c r="BB79" i="1"/>
  <c r="AW78" i="1"/>
  <c r="E73" i="12" s="1"/>
  <c r="AW77" i="1"/>
  <c r="E72" i="12" s="1"/>
  <c r="AW76" i="1"/>
  <c r="E71" i="12" s="1"/>
  <c r="AW75" i="1"/>
  <c r="E70" i="12" s="1"/>
  <c r="AW74" i="1"/>
  <c r="E69" i="12" s="1"/>
  <c r="AW73" i="1"/>
  <c r="E68" i="12" s="1"/>
  <c r="AW72" i="1"/>
  <c r="E67" i="12" s="1"/>
  <c r="AW71" i="1"/>
  <c r="E66" i="12" s="1"/>
  <c r="AW70" i="1"/>
  <c r="E65" i="12" s="1"/>
  <c r="AW69" i="1"/>
  <c r="E64" i="12" s="1"/>
  <c r="AW68" i="1"/>
  <c r="E63" i="12" s="1"/>
  <c r="AW67" i="1"/>
  <c r="E62" i="12" s="1"/>
  <c r="AW66" i="1"/>
  <c r="E61" i="12" s="1"/>
  <c r="AW65" i="1"/>
  <c r="AW56" i="1"/>
  <c r="BB56" i="1"/>
  <c r="BB37" i="1"/>
  <c r="AW37" i="1"/>
  <c r="BB46" i="1"/>
  <c r="AW46" i="1"/>
  <c r="BB52" i="1"/>
  <c r="AW52" i="1"/>
  <c r="BB49" i="1"/>
  <c r="AW49" i="1"/>
  <c r="BB40" i="1"/>
  <c r="AW40" i="1"/>
  <c r="BB43" i="1"/>
  <c r="AW43" i="1"/>
  <c r="BB33" i="1"/>
  <c r="AW33" i="1"/>
  <c r="BB21" i="1"/>
  <c r="AW21" i="1"/>
  <c r="BB18" i="1"/>
  <c r="AW18" i="1"/>
  <c r="BB15" i="1"/>
  <c r="AW15" i="1"/>
  <c r="BB12" i="1"/>
  <c r="AW12" i="1"/>
  <c r="AG78" i="1"/>
  <c r="AG77" i="1"/>
  <c r="AG76" i="1"/>
  <c r="AG75" i="1"/>
  <c r="AG74" i="1"/>
  <c r="AG73" i="1"/>
  <c r="AG72" i="1"/>
  <c r="AG71" i="1"/>
  <c r="AG70" i="1"/>
  <c r="AG69" i="1"/>
  <c r="AG68" i="1"/>
  <c r="AG67" i="1"/>
  <c r="AG66" i="1"/>
  <c r="AG65" i="1"/>
  <c r="AF79" i="1"/>
  <c r="AA79" i="1"/>
  <c r="AF63" i="1"/>
  <c r="AG63" i="1" s="1"/>
  <c r="AF62" i="1"/>
  <c r="AG62" i="1" s="1"/>
  <c r="AA63" i="1"/>
  <c r="AA62" i="1"/>
  <c r="AA61" i="1"/>
  <c r="AA60" i="1"/>
  <c r="AA64" i="1" s="1"/>
  <c r="AA59" i="1"/>
  <c r="AF59" i="1"/>
  <c r="AG59" i="1"/>
  <c r="AA52" i="1"/>
  <c r="AA49" i="1"/>
  <c r="AG52" i="1"/>
  <c r="AG40" i="1"/>
  <c r="AA40" i="1"/>
  <c r="AG46" i="1"/>
  <c r="AA46" i="1"/>
  <c r="AA56" i="1"/>
  <c r="AA37" i="1"/>
  <c r="AF37" i="1"/>
  <c r="AF56" i="1"/>
  <c r="AF46" i="1"/>
  <c r="AF52" i="1"/>
  <c r="AF49" i="1"/>
  <c r="AF43" i="1"/>
  <c r="AF40" i="1"/>
  <c r="AA43" i="1"/>
  <c r="Y29" i="1"/>
  <c r="Y30" i="1"/>
  <c r="Y31" i="1"/>
  <c r="Y32" i="1"/>
  <c r="Y28" i="1"/>
  <c r="Y27" i="1"/>
  <c r="Y26" i="1"/>
  <c r="Y25" i="1"/>
  <c r="Y24" i="1"/>
  <c r="Y23" i="1"/>
  <c r="Y9" i="1"/>
  <c r="Y10" i="1"/>
  <c r="Y11" i="1"/>
  <c r="Y7" i="1"/>
  <c r="Y8" i="1"/>
  <c r="Y6" i="1"/>
  <c r="AA33" i="1"/>
  <c r="AF33" i="1"/>
  <c r="Y17" i="1"/>
  <c r="Y16" i="1"/>
  <c r="Y14" i="1"/>
  <c r="Y13" i="1"/>
  <c r="Y19" i="1"/>
  <c r="Y20" i="1"/>
  <c r="AF21" i="1"/>
  <c r="AA21" i="1"/>
  <c r="AA18" i="1"/>
  <c r="AF18" i="1"/>
  <c r="AA15" i="1"/>
  <c r="AF15" i="1"/>
  <c r="AA12" i="1"/>
  <c r="AF12" i="1"/>
  <c r="J79" i="1"/>
  <c r="E79" i="1"/>
  <c r="E63" i="1"/>
  <c r="E62" i="1"/>
  <c r="E61" i="1"/>
  <c r="E60" i="1"/>
  <c r="E55" i="12" s="1"/>
  <c r="J63" i="1"/>
  <c r="J61" i="1"/>
  <c r="J60" i="1"/>
  <c r="K60" i="1" s="1"/>
  <c r="F63" i="1"/>
  <c r="G63" i="1" s="1"/>
  <c r="F62" i="1"/>
  <c r="G62" i="1" s="1"/>
  <c r="J59" i="1"/>
  <c r="E59" i="1"/>
  <c r="J52" i="1"/>
  <c r="E52" i="1"/>
  <c r="J56" i="1"/>
  <c r="E56" i="1"/>
  <c r="J57" i="8"/>
  <c r="J50" i="8"/>
  <c r="J44" i="8"/>
  <c r="E35" i="8"/>
  <c r="E38" i="8"/>
  <c r="E41" i="8"/>
  <c r="E44" i="8"/>
  <c r="E47" i="8"/>
  <c r="E50" i="8"/>
  <c r="E54" i="8"/>
  <c r="E57" i="8"/>
  <c r="E31" i="8"/>
  <c r="E19" i="8"/>
  <c r="E16" i="8"/>
  <c r="E13" i="8"/>
  <c r="E10" i="8"/>
  <c r="E49" i="1"/>
  <c r="J49" i="1"/>
  <c r="J46" i="1"/>
  <c r="E46" i="1"/>
  <c r="J43" i="1"/>
  <c r="E43" i="1"/>
  <c r="J40" i="1"/>
  <c r="E40" i="1"/>
  <c r="J37" i="1"/>
  <c r="E37" i="1"/>
  <c r="J33" i="1"/>
  <c r="E33" i="1"/>
  <c r="E21" i="1"/>
  <c r="J21" i="1"/>
  <c r="J18" i="1"/>
  <c r="E18" i="1"/>
  <c r="ES55" i="1"/>
  <c r="ES62" i="1"/>
  <c r="ES63" i="1"/>
  <c r="ES61" i="1"/>
  <c r="ES60" i="1"/>
  <c r="ES54" i="1"/>
  <c r="ES53" i="1"/>
  <c r="ES48" i="1"/>
  <c r="ES47" i="1"/>
  <c r="ES42" i="1"/>
  <c r="ES41" i="1"/>
  <c r="ES58" i="1"/>
  <c r="ES57" i="1"/>
  <c r="ES51" i="1"/>
  <c r="ES50" i="1"/>
  <c r="ES45" i="1"/>
  <c r="ES44" i="1"/>
  <c r="HC42" i="1"/>
  <c r="HC41" i="1"/>
  <c r="HC39" i="1"/>
  <c r="HC38" i="1"/>
  <c r="EO42" i="1"/>
  <c r="EO41" i="1"/>
  <c r="HG39" i="1"/>
  <c r="HG38" i="1"/>
  <c r="HG42" i="1"/>
  <c r="HG41" i="1"/>
  <c r="E15" i="1"/>
  <c r="J15" i="1"/>
  <c r="J12" i="1"/>
  <c r="E12" i="1"/>
  <c r="S31" i="8"/>
  <c r="S47" i="8"/>
  <c r="S41" i="8"/>
  <c r="S35" i="8"/>
  <c r="S57" i="8"/>
  <c r="S50" i="8"/>
  <c r="S44" i="8"/>
  <c r="S38" i="8"/>
  <c r="S77" i="8"/>
  <c r="V24" i="8" s="1"/>
  <c r="S16" i="8"/>
  <c r="S19" i="8"/>
  <c r="S13" i="8"/>
  <c r="S62" i="8"/>
  <c r="S10" i="8"/>
  <c r="HX79" i="1"/>
  <c r="HT79" i="1"/>
  <c r="HR79" i="1"/>
  <c r="HP79" i="1"/>
  <c r="HO79" i="1"/>
  <c r="HB79" i="1"/>
  <c r="GX79" i="1"/>
  <c r="GV79" i="1"/>
  <c r="GT79" i="1"/>
  <c r="GS79" i="1"/>
  <c r="GF79" i="1"/>
  <c r="GB79" i="1"/>
  <c r="FZ79" i="1"/>
  <c r="FX79" i="1"/>
  <c r="FW79" i="1"/>
  <c r="FJ79" i="1"/>
  <c r="FF79" i="1"/>
  <c r="FD79" i="1"/>
  <c r="FB79" i="1"/>
  <c r="FA79" i="1"/>
  <c r="EN79" i="1"/>
  <c r="EJ79" i="1"/>
  <c r="EH79" i="1"/>
  <c r="EF79" i="1"/>
  <c r="EE79" i="1"/>
  <c r="DR79" i="1"/>
  <c r="DN79" i="1"/>
  <c r="DL79" i="1"/>
  <c r="DJ79" i="1"/>
  <c r="DI79" i="1"/>
  <c r="CV79" i="1"/>
  <c r="CR79" i="1"/>
  <c r="CP79" i="1"/>
  <c r="CN79" i="1"/>
  <c r="CM79" i="1"/>
  <c r="BZ79" i="1"/>
  <c r="BV79" i="1"/>
  <c r="BT79" i="1"/>
  <c r="BR79" i="1"/>
  <c r="BQ79" i="1"/>
  <c r="BD79" i="1"/>
  <c r="AZ79" i="1"/>
  <c r="AX79" i="1"/>
  <c r="AV79" i="1"/>
  <c r="AU79" i="1"/>
  <c r="HX64" i="1"/>
  <c r="HT64" i="1"/>
  <c r="HB64" i="1"/>
  <c r="GX64" i="1"/>
  <c r="GF64" i="1"/>
  <c r="GB64" i="1"/>
  <c r="FJ64" i="1"/>
  <c r="FF64" i="1"/>
  <c r="EN64" i="1"/>
  <c r="EJ64" i="1"/>
  <c r="DR64" i="1"/>
  <c r="CV64" i="1"/>
  <c r="BZ64" i="1"/>
  <c r="BV64" i="1"/>
  <c r="BT64" i="1"/>
  <c r="BR64" i="1"/>
  <c r="BQ64" i="1"/>
  <c r="BD64" i="1"/>
  <c r="AZ64" i="1"/>
  <c r="AX64" i="1"/>
  <c r="AV64" i="1"/>
  <c r="AU64" i="1"/>
  <c r="HX59" i="1"/>
  <c r="HT59" i="1"/>
  <c r="HR59" i="1"/>
  <c r="HP59" i="1"/>
  <c r="HO59" i="1"/>
  <c r="HB59" i="1"/>
  <c r="GX59" i="1"/>
  <c r="GV59" i="1"/>
  <c r="GT59" i="1"/>
  <c r="GS59" i="1"/>
  <c r="GF59" i="1"/>
  <c r="GB59" i="1"/>
  <c r="FZ59" i="1"/>
  <c r="FX59" i="1"/>
  <c r="FW59" i="1"/>
  <c r="FJ59" i="1"/>
  <c r="FF59" i="1"/>
  <c r="FD59" i="1"/>
  <c r="FB59" i="1"/>
  <c r="FA59" i="1"/>
  <c r="EN59" i="1"/>
  <c r="EJ59" i="1"/>
  <c r="EH59" i="1"/>
  <c r="EF59" i="1"/>
  <c r="EE59" i="1"/>
  <c r="DR59" i="1"/>
  <c r="DN59" i="1"/>
  <c r="DL59" i="1"/>
  <c r="DJ59" i="1"/>
  <c r="DI59" i="1"/>
  <c r="CV59" i="1"/>
  <c r="CR59" i="1"/>
  <c r="CP59" i="1"/>
  <c r="CN59" i="1"/>
  <c r="CM59" i="1"/>
  <c r="BZ59" i="1"/>
  <c r="BV59" i="1"/>
  <c r="BT59" i="1"/>
  <c r="BR59" i="1"/>
  <c r="BQ59" i="1"/>
  <c r="BD59" i="1"/>
  <c r="AZ59" i="1"/>
  <c r="AX59" i="1"/>
  <c r="AV59" i="1"/>
  <c r="AU59" i="1"/>
  <c r="HX56" i="1"/>
  <c r="HT56" i="1"/>
  <c r="HR56" i="1"/>
  <c r="HP56" i="1"/>
  <c r="HO56" i="1"/>
  <c r="HB56" i="1"/>
  <c r="GX56" i="1"/>
  <c r="GV56" i="1"/>
  <c r="GT56" i="1"/>
  <c r="GS56" i="1"/>
  <c r="GF56" i="1"/>
  <c r="GB56" i="1"/>
  <c r="FZ56" i="1"/>
  <c r="FX56" i="1"/>
  <c r="FW56" i="1"/>
  <c r="FJ56" i="1"/>
  <c r="FF56" i="1"/>
  <c r="FD56" i="1"/>
  <c r="FB56" i="1"/>
  <c r="FA56" i="1"/>
  <c r="EN56" i="1"/>
  <c r="EJ56" i="1"/>
  <c r="EH56" i="1"/>
  <c r="EF56" i="1"/>
  <c r="EE56" i="1"/>
  <c r="DR56" i="1"/>
  <c r="DN56" i="1"/>
  <c r="DL56" i="1"/>
  <c r="DJ56" i="1"/>
  <c r="DI56" i="1"/>
  <c r="CV56" i="1"/>
  <c r="CR56" i="1"/>
  <c r="CP56" i="1"/>
  <c r="CN56" i="1"/>
  <c r="CM56" i="1"/>
  <c r="BZ56" i="1"/>
  <c r="BV56" i="1"/>
  <c r="BT56" i="1"/>
  <c r="BR56" i="1"/>
  <c r="BQ56" i="1"/>
  <c r="BD56" i="1"/>
  <c r="AZ56" i="1"/>
  <c r="AX56" i="1"/>
  <c r="AV56" i="1"/>
  <c r="AU56" i="1"/>
  <c r="HX52" i="1"/>
  <c r="HT52" i="1"/>
  <c r="HR52" i="1"/>
  <c r="HP52" i="1"/>
  <c r="HO52" i="1"/>
  <c r="HB52" i="1"/>
  <c r="GX52" i="1"/>
  <c r="GV52" i="1"/>
  <c r="GT52" i="1"/>
  <c r="GS52" i="1"/>
  <c r="GF52" i="1"/>
  <c r="GB52" i="1"/>
  <c r="FZ52" i="1"/>
  <c r="FX52" i="1"/>
  <c r="FW52" i="1"/>
  <c r="FJ52" i="1"/>
  <c r="FF52" i="1"/>
  <c r="FD52" i="1"/>
  <c r="FB52" i="1"/>
  <c r="FA52" i="1"/>
  <c r="EN52" i="1"/>
  <c r="EJ52" i="1"/>
  <c r="EH52" i="1"/>
  <c r="EF52" i="1"/>
  <c r="EE52" i="1"/>
  <c r="DR52" i="1"/>
  <c r="DN52" i="1"/>
  <c r="DL52" i="1"/>
  <c r="DJ52" i="1"/>
  <c r="DI52" i="1"/>
  <c r="CV52" i="1"/>
  <c r="CR52" i="1"/>
  <c r="CP52" i="1"/>
  <c r="CN52" i="1"/>
  <c r="CM52" i="1"/>
  <c r="BZ52" i="1"/>
  <c r="BV52" i="1"/>
  <c r="BT52" i="1"/>
  <c r="BR52" i="1"/>
  <c r="BQ52" i="1"/>
  <c r="BD52" i="1"/>
  <c r="AZ52" i="1"/>
  <c r="AX52" i="1"/>
  <c r="AV52" i="1"/>
  <c r="AU52" i="1"/>
  <c r="HX49" i="1"/>
  <c r="HT49" i="1"/>
  <c r="HR49" i="1"/>
  <c r="HP49" i="1"/>
  <c r="HO49" i="1"/>
  <c r="HB49" i="1"/>
  <c r="GX49" i="1"/>
  <c r="GV49" i="1"/>
  <c r="GT49" i="1"/>
  <c r="GS49" i="1"/>
  <c r="GF49" i="1"/>
  <c r="GB49" i="1"/>
  <c r="FZ49" i="1"/>
  <c r="FX49" i="1"/>
  <c r="FW49" i="1"/>
  <c r="FJ49" i="1"/>
  <c r="FF49" i="1"/>
  <c r="FD49" i="1"/>
  <c r="FB49" i="1"/>
  <c r="FA49" i="1"/>
  <c r="EN49" i="1"/>
  <c r="EJ49" i="1"/>
  <c r="EH49" i="1"/>
  <c r="EF49" i="1"/>
  <c r="EE49" i="1"/>
  <c r="DR49" i="1"/>
  <c r="DN49" i="1"/>
  <c r="DL49" i="1"/>
  <c r="DJ49" i="1"/>
  <c r="DI49" i="1"/>
  <c r="CV49" i="1"/>
  <c r="CR49" i="1"/>
  <c r="CP49" i="1"/>
  <c r="CN49" i="1"/>
  <c r="CM49" i="1"/>
  <c r="BZ49" i="1"/>
  <c r="BV49" i="1"/>
  <c r="BT49" i="1"/>
  <c r="BR49" i="1"/>
  <c r="BQ49" i="1"/>
  <c r="BD49" i="1"/>
  <c r="AZ49" i="1"/>
  <c r="AX49" i="1"/>
  <c r="AV49" i="1"/>
  <c r="AU49" i="1"/>
  <c r="HX46" i="1"/>
  <c r="HT46" i="1"/>
  <c r="HR46" i="1"/>
  <c r="HP46" i="1"/>
  <c r="HO46" i="1"/>
  <c r="HB46" i="1"/>
  <c r="GX46" i="1"/>
  <c r="GV46" i="1"/>
  <c r="GT46" i="1"/>
  <c r="GS46" i="1"/>
  <c r="GF46" i="1"/>
  <c r="GB46" i="1"/>
  <c r="FZ46" i="1"/>
  <c r="FX46" i="1"/>
  <c r="FW46" i="1"/>
  <c r="FJ46" i="1"/>
  <c r="FF46" i="1"/>
  <c r="FD46" i="1"/>
  <c r="FB46" i="1"/>
  <c r="FA46" i="1"/>
  <c r="EN46" i="1"/>
  <c r="EJ46" i="1"/>
  <c r="EH46" i="1"/>
  <c r="EF46" i="1"/>
  <c r="EE46" i="1"/>
  <c r="DR46" i="1"/>
  <c r="DN46" i="1"/>
  <c r="DL46" i="1"/>
  <c r="DJ46" i="1"/>
  <c r="DI46" i="1"/>
  <c r="CV46" i="1"/>
  <c r="CR46" i="1"/>
  <c r="CP46" i="1"/>
  <c r="CN46" i="1"/>
  <c r="CM46" i="1"/>
  <c r="BZ46" i="1"/>
  <c r="BV46" i="1"/>
  <c r="BT46" i="1"/>
  <c r="BR46" i="1"/>
  <c r="BQ46" i="1"/>
  <c r="BD46" i="1"/>
  <c r="AZ46" i="1"/>
  <c r="AX46" i="1"/>
  <c r="AV46" i="1"/>
  <c r="AU46" i="1"/>
  <c r="HX43" i="1"/>
  <c r="HT43" i="1"/>
  <c r="HR43" i="1"/>
  <c r="HP43" i="1"/>
  <c r="HO43" i="1"/>
  <c r="HB43" i="1"/>
  <c r="GX43" i="1"/>
  <c r="GV43" i="1"/>
  <c r="GT43" i="1"/>
  <c r="GS43" i="1"/>
  <c r="GF43" i="1"/>
  <c r="GB43" i="1"/>
  <c r="FZ43" i="1"/>
  <c r="FX43" i="1"/>
  <c r="FW43" i="1"/>
  <c r="FJ43" i="1"/>
  <c r="FF43" i="1"/>
  <c r="FD43" i="1"/>
  <c r="FB43" i="1"/>
  <c r="FA43" i="1"/>
  <c r="EN43" i="1"/>
  <c r="EJ43" i="1"/>
  <c r="EH43" i="1"/>
  <c r="EF43" i="1"/>
  <c r="EE43" i="1"/>
  <c r="DR43" i="1"/>
  <c r="DN43" i="1"/>
  <c r="DL43" i="1"/>
  <c r="DJ43" i="1"/>
  <c r="DI43" i="1"/>
  <c r="CV43" i="1"/>
  <c r="CR43" i="1"/>
  <c r="CP43" i="1"/>
  <c r="CN43" i="1"/>
  <c r="CM43" i="1"/>
  <c r="BZ43" i="1"/>
  <c r="BV43" i="1"/>
  <c r="BT43" i="1"/>
  <c r="BR43" i="1"/>
  <c r="BQ43" i="1"/>
  <c r="BD43" i="1"/>
  <c r="AZ43" i="1"/>
  <c r="AX43" i="1"/>
  <c r="AV43" i="1"/>
  <c r="AU43" i="1"/>
  <c r="HX40" i="1"/>
  <c r="HT40" i="1"/>
  <c r="HR40" i="1"/>
  <c r="HP40" i="1"/>
  <c r="HO40" i="1"/>
  <c r="HB40" i="1"/>
  <c r="GX40" i="1"/>
  <c r="GV40" i="1"/>
  <c r="GT40" i="1"/>
  <c r="GS40" i="1"/>
  <c r="GF40" i="1"/>
  <c r="GB40" i="1"/>
  <c r="FZ40" i="1"/>
  <c r="FX40" i="1"/>
  <c r="FW40" i="1"/>
  <c r="FJ40" i="1"/>
  <c r="FF40" i="1"/>
  <c r="FD40" i="1"/>
  <c r="FB40" i="1"/>
  <c r="FA40" i="1"/>
  <c r="EN40" i="1"/>
  <c r="EJ40" i="1"/>
  <c r="EH40" i="1"/>
  <c r="EF40" i="1"/>
  <c r="EE40" i="1"/>
  <c r="DR40" i="1"/>
  <c r="DN40" i="1"/>
  <c r="DL40" i="1"/>
  <c r="DJ40" i="1"/>
  <c r="DI40" i="1"/>
  <c r="CV40" i="1"/>
  <c r="CR40" i="1"/>
  <c r="CP40" i="1"/>
  <c r="CN40" i="1"/>
  <c r="CM40" i="1"/>
  <c r="BZ40" i="1"/>
  <c r="BV40" i="1"/>
  <c r="BT40" i="1"/>
  <c r="BR40" i="1"/>
  <c r="BQ40" i="1"/>
  <c r="BD40" i="1"/>
  <c r="AZ40" i="1"/>
  <c r="AX40" i="1"/>
  <c r="AV40" i="1"/>
  <c r="AU40" i="1"/>
  <c r="HX37" i="1"/>
  <c r="HT37" i="1"/>
  <c r="HR37" i="1"/>
  <c r="HP37" i="1"/>
  <c r="HO37" i="1"/>
  <c r="HB37" i="1"/>
  <c r="GX37" i="1"/>
  <c r="GV37" i="1"/>
  <c r="GT37" i="1"/>
  <c r="GS37" i="1"/>
  <c r="GF37" i="1"/>
  <c r="GB37" i="1"/>
  <c r="FZ37" i="1"/>
  <c r="FX37" i="1"/>
  <c r="FW37" i="1"/>
  <c r="FJ37" i="1"/>
  <c r="FF37" i="1"/>
  <c r="FD37" i="1"/>
  <c r="FB37" i="1"/>
  <c r="FA37" i="1"/>
  <c r="EN37" i="1"/>
  <c r="EJ37" i="1"/>
  <c r="EH37" i="1"/>
  <c r="EF37" i="1"/>
  <c r="EE37" i="1"/>
  <c r="DR37" i="1"/>
  <c r="DN37" i="1"/>
  <c r="DL37" i="1"/>
  <c r="DJ37" i="1"/>
  <c r="DI37" i="1"/>
  <c r="CV37" i="1"/>
  <c r="CR37" i="1"/>
  <c r="CP37" i="1"/>
  <c r="CN37" i="1"/>
  <c r="CM37" i="1"/>
  <c r="BZ37" i="1"/>
  <c r="BV37" i="1"/>
  <c r="BT37" i="1"/>
  <c r="BR37" i="1"/>
  <c r="BQ37" i="1"/>
  <c r="BD37" i="1"/>
  <c r="AZ37" i="1"/>
  <c r="AX37" i="1"/>
  <c r="AV37" i="1"/>
  <c r="AU37" i="1"/>
  <c r="HX33" i="1"/>
  <c r="HT33" i="1"/>
  <c r="HR33" i="1"/>
  <c r="HP33" i="1"/>
  <c r="HO33" i="1"/>
  <c r="HB33" i="1"/>
  <c r="GX33" i="1"/>
  <c r="GV33" i="1"/>
  <c r="GT33" i="1"/>
  <c r="GS33" i="1"/>
  <c r="GF33" i="1"/>
  <c r="GB33" i="1"/>
  <c r="FZ33" i="1"/>
  <c r="FX33" i="1"/>
  <c r="FW33" i="1"/>
  <c r="FJ33" i="1"/>
  <c r="FF33" i="1"/>
  <c r="FD33" i="1"/>
  <c r="FB33" i="1"/>
  <c r="FA33" i="1"/>
  <c r="EN33" i="1"/>
  <c r="EJ33" i="1"/>
  <c r="EH33" i="1"/>
  <c r="EF33" i="1"/>
  <c r="EE33" i="1"/>
  <c r="DR33" i="1"/>
  <c r="DN33" i="1"/>
  <c r="DL33" i="1"/>
  <c r="DJ33" i="1"/>
  <c r="DI33" i="1"/>
  <c r="CV33" i="1"/>
  <c r="CR33" i="1"/>
  <c r="CP33" i="1"/>
  <c r="CN33" i="1"/>
  <c r="CM33" i="1"/>
  <c r="BZ33" i="1"/>
  <c r="BV33" i="1"/>
  <c r="BT33" i="1"/>
  <c r="BR33" i="1"/>
  <c r="BQ33" i="1"/>
  <c r="BD33" i="1"/>
  <c r="AZ33" i="1"/>
  <c r="AX33" i="1"/>
  <c r="AV33" i="1"/>
  <c r="AU33" i="1"/>
  <c r="AH33" i="1"/>
  <c r="AD33" i="1"/>
  <c r="AB33" i="1"/>
  <c r="Z33" i="1"/>
  <c r="Y33" i="1"/>
  <c r="HX21" i="1"/>
  <c r="HT21" i="1"/>
  <c r="HR21" i="1"/>
  <c r="HP21" i="1"/>
  <c r="HO21" i="1"/>
  <c r="HB21" i="1"/>
  <c r="GX21" i="1"/>
  <c r="GV21" i="1"/>
  <c r="GT21" i="1"/>
  <c r="GS21" i="1"/>
  <c r="GF21" i="1"/>
  <c r="GB21" i="1"/>
  <c r="FZ21" i="1"/>
  <c r="FX21" i="1"/>
  <c r="FW21" i="1"/>
  <c r="FJ21" i="1"/>
  <c r="FF21" i="1"/>
  <c r="FD21" i="1"/>
  <c r="FB21" i="1"/>
  <c r="FA21" i="1"/>
  <c r="EN21" i="1"/>
  <c r="EJ21" i="1"/>
  <c r="EH21" i="1"/>
  <c r="EF21" i="1"/>
  <c r="EE21" i="1"/>
  <c r="DR21" i="1"/>
  <c r="DN21" i="1"/>
  <c r="DL21" i="1"/>
  <c r="DJ21" i="1"/>
  <c r="DI21" i="1"/>
  <c r="CV21" i="1"/>
  <c r="CR21" i="1"/>
  <c r="CP21" i="1"/>
  <c r="CN21" i="1"/>
  <c r="CM21" i="1"/>
  <c r="BZ21" i="1"/>
  <c r="BV21" i="1"/>
  <c r="BT21" i="1"/>
  <c r="BR21" i="1"/>
  <c r="BQ21" i="1"/>
  <c r="BD21" i="1"/>
  <c r="AZ21" i="1"/>
  <c r="AX21" i="1"/>
  <c r="AV21" i="1"/>
  <c r="AU21" i="1"/>
  <c r="HX18" i="1"/>
  <c r="HT18" i="1"/>
  <c r="HR18" i="1"/>
  <c r="HP18" i="1"/>
  <c r="HO18" i="1"/>
  <c r="HB18" i="1"/>
  <c r="GX18" i="1"/>
  <c r="GV18" i="1"/>
  <c r="GT18" i="1"/>
  <c r="GS18" i="1"/>
  <c r="GF18" i="1"/>
  <c r="GB18" i="1"/>
  <c r="FZ18" i="1"/>
  <c r="FX18" i="1"/>
  <c r="FW18" i="1"/>
  <c r="DR18" i="1"/>
  <c r="DN18" i="1"/>
  <c r="DL18" i="1"/>
  <c r="DJ18" i="1"/>
  <c r="DI18" i="1"/>
  <c r="CV18" i="1"/>
  <c r="CR18" i="1"/>
  <c r="CP18" i="1"/>
  <c r="CN18" i="1"/>
  <c r="CM18" i="1"/>
  <c r="BZ18" i="1"/>
  <c r="BV18" i="1"/>
  <c r="BT18" i="1"/>
  <c r="BR18" i="1"/>
  <c r="BQ18" i="1"/>
  <c r="BD18" i="1"/>
  <c r="AZ18" i="1"/>
  <c r="AX18" i="1"/>
  <c r="AV18" i="1"/>
  <c r="AU18" i="1"/>
  <c r="HX15" i="1"/>
  <c r="HT15" i="1"/>
  <c r="HR15" i="1"/>
  <c r="HP15" i="1"/>
  <c r="HO15" i="1"/>
  <c r="HB15" i="1"/>
  <c r="GX15" i="1"/>
  <c r="GV15" i="1"/>
  <c r="GT15" i="1"/>
  <c r="GS15" i="1"/>
  <c r="GF15" i="1"/>
  <c r="GB15" i="1"/>
  <c r="FZ15" i="1"/>
  <c r="FX15" i="1"/>
  <c r="FW15" i="1"/>
  <c r="FJ15" i="1"/>
  <c r="FF15" i="1"/>
  <c r="FD15" i="1"/>
  <c r="FB15" i="1"/>
  <c r="FA15" i="1"/>
  <c r="EN15" i="1"/>
  <c r="EJ15" i="1"/>
  <c r="EH15" i="1"/>
  <c r="EF15" i="1"/>
  <c r="EE15" i="1"/>
  <c r="DR15" i="1"/>
  <c r="DN15" i="1"/>
  <c r="DL15" i="1"/>
  <c r="DJ15" i="1"/>
  <c r="DI15" i="1"/>
  <c r="CV15" i="1"/>
  <c r="CR15" i="1"/>
  <c r="CP15" i="1"/>
  <c r="CN15" i="1"/>
  <c r="CM15" i="1"/>
  <c r="BZ15" i="1"/>
  <c r="BV15" i="1"/>
  <c r="BT15" i="1"/>
  <c r="BR15" i="1"/>
  <c r="BQ15" i="1"/>
  <c r="BD15" i="1"/>
  <c r="AZ15" i="1"/>
  <c r="AX15" i="1"/>
  <c r="AV15" i="1"/>
  <c r="AU15" i="1"/>
  <c r="HX12" i="1"/>
  <c r="HT12" i="1"/>
  <c r="HR12" i="1"/>
  <c r="HP12" i="1"/>
  <c r="HO12" i="1"/>
  <c r="HB12" i="1"/>
  <c r="GX12" i="1"/>
  <c r="GV12" i="1"/>
  <c r="GT12" i="1"/>
  <c r="GS12" i="1"/>
  <c r="GF12" i="1"/>
  <c r="GB12" i="1"/>
  <c r="FZ12" i="1"/>
  <c r="FX12" i="1"/>
  <c r="FW12" i="1"/>
  <c r="FJ12" i="1"/>
  <c r="FF12" i="1"/>
  <c r="FD12" i="1"/>
  <c r="FB12" i="1"/>
  <c r="FA12" i="1"/>
  <c r="EN12" i="1"/>
  <c r="EJ12" i="1"/>
  <c r="EH12" i="1"/>
  <c r="EF12" i="1"/>
  <c r="EE12" i="1"/>
  <c r="DR12" i="1"/>
  <c r="DR22" i="1" s="1"/>
  <c r="DN12" i="1"/>
  <c r="DN22" i="1" s="1"/>
  <c r="DL12" i="1"/>
  <c r="DL22" i="1" s="1"/>
  <c r="DJ12" i="1"/>
  <c r="DJ22" i="1" s="1"/>
  <c r="DI12" i="1"/>
  <c r="DI22" i="1" s="1"/>
  <c r="CV12" i="1"/>
  <c r="CR12" i="1"/>
  <c r="CP12" i="1"/>
  <c r="CN12" i="1"/>
  <c r="CM12" i="1"/>
  <c r="BZ12" i="1"/>
  <c r="BV12" i="1"/>
  <c r="BT12" i="1"/>
  <c r="BR12" i="1"/>
  <c r="BQ12" i="1"/>
  <c r="BD12" i="1"/>
  <c r="AZ12" i="1"/>
  <c r="AX12" i="1"/>
  <c r="AV12" i="1"/>
  <c r="AU12" i="1"/>
  <c r="GN21" i="1"/>
  <c r="GN49" i="1"/>
  <c r="GN64" i="1"/>
  <c r="GN59" i="1"/>
  <c r="GN52" i="1"/>
  <c r="GN18" i="1"/>
  <c r="GN46" i="1"/>
  <c r="GN43" i="1"/>
  <c r="GN40" i="1"/>
  <c r="GN37" i="1"/>
  <c r="GN33" i="1"/>
  <c r="GN15" i="1"/>
  <c r="GN12" i="1"/>
  <c r="AP37" i="1"/>
  <c r="AP33" i="1"/>
  <c r="AP18" i="1"/>
  <c r="AP40" i="1"/>
  <c r="AP46" i="1"/>
  <c r="AP59" i="1"/>
  <c r="AP64" i="1"/>
  <c r="AP52" i="1"/>
  <c r="AP49" i="1"/>
  <c r="AP43" i="1"/>
  <c r="AP21" i="1"/>
  <c r="AP15" i="1"/>
  <c r="AP12" i="1"/>
  <c r="Z18" i="1"/>
  <c r="AB18" i="1"/>
  <c r="Z40" i="1"/>
  <c r="AB40" i="1"/>
  <c r="Z46" i="1"/>
  <c r="AB46" i="1"/>
  <c r="Z52" i="1"/>
  <c r="AB52" i="1"/>
  <c r="Z59" i="1"/>
  <c r="AB59" i="1"/>
  <c r="Y59" i="1"/>
  <c r="Y52" i="1"/>
  <c r="Y46" i="1"/>
  <c r="Y40" i="1"/>
  <c r="Y18" i="1"/>
  <c r="AH43" i="1"/>
  <c r="AD43" i="1"/>
  <c r="AH21" i="1"/>
  <c r="AD21" i="1"/>
  <c r="AH15" i="1"/>
  <c r="AD15" i="1"/>
  <c r="AH59" i="1"/>
  <c r="AD59" i="1"/>
  <c r="AH52" i="1"/>
  <c r="AD52" i="1"/>
  <c r="AH46" i="1"/>
  <c r="AD46" i="1"/>
  <c r="AH40" i="1"/>
  <c r="AD40" i="1"/>
  <c r="AH18" i="1"/>
  <c r="AD18" i="1"/>
  <c r="L18" i="1"/>
  <c r="L40" i="1"/>
  <c r="H40" i="1"/>
  <c r="FR64" i="1"/>
  <c r="FR79" i="1"/>
  <c r="FR59" i="1"/>
  <c r="FR52" i="1"/>
  <c r="FR49" i="1"/>
  <c r="FR46" i="1"/>
  <c r="FR43" i="1"/>
  <c r="FR40" i="1"/>
  <c r="FR37" i="1"/>
  <c r="FR18" i="1"/>
  <c r="FR15" i="1"/>
  <c r="FR12" i="1"/>
  <c r="FR21" i="1"/>
  <c r="FR33" i="1"/>
  <c r="FJ18" i="1"/>
  <c r="FF18" i="1"/>
  <c r="FD18" i="1"/>
  <c r="FB18" i="1"/>
  <c r="FA18" i="1"/>
  <c r="IT37" i="1"/>
  <c r="IP37" i="1"/>
  <c r="IN37" i="1"/>
  <c r="IL37" i="1"/>
  <c r="IK37" i="1"/>
  <c r="IT56" i="1"/>
  <c r="IP56" i="1"/>
  <c r="IN56" i="1"/>
  <c r="IL56" i="1"/>
  <c r="IK56" i="1"/>
  <c r="IN43" i="1"/>
  <c r="IL43" i="1"/>
  <c r="IK43" i="1"/>
  <c r="IN21" i="1"/>
  <c r="IL21" i="1"/>
  <c r="IK21" i="1"/>
  <c r="IN15" i="1"/>
  <c r="IL15" i="1"/>
  <c r="IK15" i="1"/>
  <c r="IN18" i="1"/>
  <c r="IL18" i="1"/>
  <c r="IK18" i="1"/>
  <c r="IN40" i="1"/>
  <c r="IL40" i="1"/>
  <c r="IK40" i="1"/>
  <c r="IN46" i="1"/>
  <c r="IL46" i="1"/>
  <c r="IK46" i="1"/>
  <c r="IN52" i="1"/>
  <c r="IL52" i="1"/>
  <c r="IK52" i="1"/>
  <c r="IN59" i="1"/>
  <c r="IL59" i="1"/>
  <c r="IK59" i="1"/>
  <c r="IN64" i="1"/>
  <c r="IL64" i="1"/>
  <c r="IK64" i="1"/>
  <c r="JC79" i="1"/>
  <c r="JC64" i="1"/>
  <c r="IX64" i="1" s="1"/>
  <c r="JC59" i="1"/>
  <c r="JC56" i="1"/>
  <c r="IX56" i="1" s="1"/>
  <c r="JC52" i="1"/>
  <c r="JC49" i="1"/>
  <c r="IX49" i="1" s="1"/>
  <c r="JC46" i="1"/>
  <c r="JC43" i="1"/>
  <c r="JC40" i="1"/>
  <c r="IV40" i="1" s="1"/>
  <c r="JC37" i="1"/>
  <c r="IX37" i="1" s="1"/>
  <c r="JC33" i="1"/>
  <c r="JC21" i="1"/>
  <c r="JC18" i="1"/>
  <c r="JC15" i="1"/>
  <c r="IX15" i="1" s="1"/>
  <c r="JC12" i="1"/>
  <c r="FR56" i="1"/>
  <c r="AP56" i="1"/>
  <c r="GN56" i="1"/>
  <c r="S54" i="8"/>
  <c r="EN18" i="1"/>
  <c r="EJ18" i="1"/>
  <c r="EH18" i="1"/>
  <c r="EF18" i="1"/>
  <c r="EE18" i="1"/>
  <c r="EV79" i="1"/>
  <c r="EV64" i="1"/>
  <c r="EV59" i="1"/>
  <c r="EV56" i="1"/>
  <c r="EV52" i="1"/>
  <c r="EV49" i="1"/>
  <c r="EV46" i="1"/>
  <c r="EV43" i="1"/>
  <c r="EV40" i="1"/>
  <c r="EV37" i="1"/>
  <c r="EV33" i="1"/>
  <c r="EV21" i="1"/>
  <c r="EV18" i="1"/>
  <c r="EV15" i="1"/>
  <c r="EV12" i="1"/>
  <c r="DZ15" i="1"/>
  <c r="DZ12" i="1"/>
  <c r="DZ18" i="1"/>
  <c r="DZ21" i="1"/>
  <c r="DZ33" i="1"/>
  <c r="DZ37" i="1"/>
  <c r="DZ40" i="1"/>
  <c r="DZ43" i="1"/>
  <c r="DZ46" i="1"/>
  <c r="DZ49" i="1"/>
  <c r="DZ52" i="1"/>
  <c r="DZ56" i="1"/>
  <c r="DZ59" i="1"/>
  <c r="DZ64" i="1"/>
  <c r="DZ79" i="1"/>
  <c r="DZ82" i="1" s="1"/>
  <c r="DD79" i="1"/>
  <c r="DD64" i="1"/>
  <c r="DD59" i="1"/>
  <c r="DD56" i="1"/>
  <c r="DD52" i="1"/>
  <c r="DD49" i="1"/>
  <c r="DD46" i="1"/>
  <c r="DD43" i="1"/>
  <c r="DD40" i="1"/>
  <c r="DD37" i="1"/>
  <c r="DD33" i="1"/>
  <c r="DD21" i="1"/>
  <c r="DD18" i="1"/>
  <c r="DD15" i="1"/>
  <c r="DD12" i="1"/>
  <c r="CH64" i="1"/>
  <c r="CH59" i="1"/>
  <c r="CH56" i="1"/>
  <c r="CH52" i="1"/>
  <c r="CH49" i="1"/>
  <c r="CH46" i="1"/>
  <c r="CH43" i="1"/>
  <c r="CH40" i="1"/>
  <c r="CH37" i="1"/>
  <c r="CH33" i="1"/>
  <c r="CH21" i="1"/>
  <c r="CH18" i="1"/>
  <c r="CH15" i="1"/>
  <c r="CH12" i="1"/>
  <c r="AH49" i="1"/>
  <c r="AD49" i="1"/>
  <c r="AH56" i="1"/>
  <c r="AD56" i="1"/>
  <c r="AH64" i="1"/>
  <c r="L21" i="1"/>
  <c r="L15" i="1"/>
  <c r="L37" i="1"/>
  <c r="H37" i="1"/>
  <c r="D37" i="1"/>
  <c r="F37" i="1"/>
  <c r="C37" i="1"/>
  <c r="L43" i="1"/>
  <c r="H43" i="1"/>
  <c r="L49" i="1"/>
  <c r="H49" i="1"/>
  <c r="F49" i="1"/>
  <c r="D49" i="1"/>
  <c r="C49" i="1"/>
  <c r="F43" i="1"/>
  <c r="D43" i="1"/>
  <c r="C43" i="1"/>
  <c r="AP79" i="1"/>
  <c r="AP82" i="1" s="1"/>
  <c r="CH79" i="1"/>
  <c r="CH82" i="1" s="1"/>
  <c r="GN79" i="1"/>
  <c r="GN82" i="1" s="1"/>
  <c r="HJ40" i="1"/>
  <c r="HJ43" i="1"/>
  <c r="HJ46" i="1"/>
  <c r="HJ49" i="1"/>
  <c r="HJ52" i="1"/>
  <c r="HJ56" i="1"/>
  <c r="HJ59" i="1"/>
  <c r="HJ64" i="1"/>
  <c r="HJ79" i="1"/>
  <c r="HJ37" i="1"/>
  <c r="HJ33" i="1"/>
  <c r="HJ12" i="1"/>
  <c r="HJ18" i="1"/>
  <c r="HJ15" i="1"/>
  <c r="HJ21" i="1"/>
  <c r="IF33" i="1"/>
  <c r="IF37" i="1"/>
  <c r="IF40" i="1"/>
  <c r="IF43" i="1"/>
  <c r="IF46" i="1"/>
  <c r="IF49" i="1"/>
  <c r="IF56" i="1"/>
  <c r="IF52" i="1"/>
  <c r="IF59" i="1"/>
  <c r="IF64" i="1"/>
  <c r="IF79" i="1"/>
  <c r="IF12" i="1"/>
  <c r="IF21" i="1"/>
  <c r="IF18" i="1"/>
  <c r="IF15" i="1"/>
  <c r="BL18" i="1"/>
  <c r="BL12" i="1"/>
  <c r="BL15" i="1"/>
  <c r="BL21" i="1"/>
  <c r="BL33" i="1"/>
  <c r="BL37" i="1"/>
  <c r="BL40" i="1"/>
  <c r="BL43" i="1"/>
  <c r="BL46" i="1"/>
  <c r="BL52" i="1"/>
  <c r="BL49" i="1"/>
  <c r="BL56" i="1"/>
  <c r="BL59" i="1"/>
  <c r="BL64" i="1"/>
  <c r="BL79" i="1"/>
  <c r="BL82" i="1" s="1"/>
  <c r="AH37" i="1"/>
  <c r="AD37" i="1"/>
  <c r="AH79" i="1"/>
  <c r="AD79" i="1"/>
  <c r="Z79" i="1"/>
  <c r="AB79" i="1"/>
  <c r="Y79" i="1"/>
  <c r="Z64" i="1"/>
  <c r="AB64" i="1"/>
  <c r="Y64" i="1"/>
  <c r="AB56" i="1"/>
  <c r="Z56" i="1"/>
  <c r="Y56" i="1"/>
  <c r="Z37" i="1"/>
  <c r="AB37" i="1"/>
  <c r="Y37" i="1"/>
  <c r="AB49" i="1"/>
  <c r="Z49" i="1"/>
  <c r="Y49" i="1"/>
  <c r="AB43" i="1"/>
  <c r="Z43" i="1"/>
  <c r="Y43" i="1"/>
  <c r="AB21" i="1"/>
  <c r="Z21" i="1"/>
  <c r="Y21" i="1"/>
  <c r="Z15" i="1"/>
  <c r="AB15" i="1"/>
  <c r="Y15" i="1"/>
  <c r="T64" i="1"/>
  <c r="T79" i="1"/>
  <c r="L56" i="1"/>
  <c r="H56" i="1"/>
  <c r="D56" i="1"/>
  <c r="F56" i="1"/>
  <c r="C56" i="1"/>
  <c r="L59" i="1"/>
  <c r="H59" i="1"/>
  <c r="R62" i="8"/>
  <c r="R47" i="8"/>
  <c r="R41" i="8"/>
  <c r="R35" i="8"/>
  <c r="R19" i="8"/>
  <c r="R13" i="8"/>
  <c r="AH12" i="1"/>
  <c r="AD12" i="1"/>
  <c r="AB12" i="1"/>
  <c r="Z12" i="1"/>
  <c r="Y12" i="1"/>
  <c r="L62" i="8"/>
  <c r="L57" i="8"/>
  <c r="L54" i="8"/>
  <c r="L50" i="8"/>
  <c r="L47" i="8"/>
  <c r="L44" i="8"/>
  <c r="L41" i="8"/>
  <c r="L38" i="8"/>
  <c r="L35" i="8"/>
  <c r="H54" i="8"/>
  <c r="H47" i="8"/>
  <c r="H41" i="8"/>
  <c r="L31" i="8"/>
  <c r="L19" i="8"/>
  <c r="L16" i="8"/>
  <c r="D16" i="8"/>
  <c r="L13" i="8"/>
  <c r="D13" i="8"/>
  <c r="T59" i="1"/>
  <c r="T56" i="1"/>
  <c r="T52" i="1"/>
  <c r="T49" i="1"/>
  <c r="T46" i="1"/>
  <c r="T43" i="1"/>
  <c r="T40" i="1"/>
  <c r="T33" i="1"/>
  <c r="T37" i="1"/>
  <c r="T18" i="1"/>
  <c r="T21" i="1"/>
  <c r="T15" i="1"/>
  <c r="T12" i="1"/>
  <c r="L64" i="1"/>
  <c r="H64" i="1"/>
  <c r="D64" i="1"/>
  <c r="F64" i="1"/>
  <c r="C64" i="1"/>
  <c r="L79" i="1"/>
  <c r="H79" i="1"/>
  <c r="L52" i="1"/>
  <c r="H52" i="1"/>
  <c r="L46" i="1"/>
  <c r="H46" i="1"/>
  <c r="L33" i="1"/>
  <c r="H33" i="1"/>
  <c r="D33" i="1"/>
  <c r="F33" i="1"/>
  <c r="C33" i="1"/>
  <c r="H21" i="1"/>
  <c r="H18" i="1"/>
  <c r="H15" i="1"/>
  <c r="F79" i="1"/>
  <c r="D79" i="1"/>
  <c r="C79" i="1"/>
  <c r="F59" i="1"/>
  <c r="D59" i="1"/>
  <c r="C59" i="1"/>
  <c r="F52" i="1"/>
  <c r="D52" i="1"/>
  <c r="C52" i="1"/>
  <c r="F46" i="1"/>
  <c r="D46" i="1"/>
  <c r="C46" i="1"/>
  <c r="F40" i="1"/>
  <c r="D40" i="1"/>
  <c r="C40" i="1"/>
  <c r="F18" i="1"/>
  <c r="D18" i="1"/>
  <c r="C18" i="1"/>
  <c r="F21" i="1"/>
  <c r="D21" i="1"/>
  <c r="C21" i="1"/>
  <c r="D15" i="1"/>
  <c r="F15" i="1"/>
  <c r="C15" i="1"/>
  <c r="L12" i="1"/>
  <c r="H12" i="1"/>
  <c r="D12" i="1"/>
  <c r="F12" i="1"/>
  <c r="C12" i="1"/>
  <c r="EF63" i="1"/>
  <c r="EF62" i="1"/>
  <c r="EF61" i="1"/>
  <c r="EU61" i="1" s="1"/>
  <c r="EF60" i="1"/>
  <c r="EE63" i="1"/>
  <c r="EE62" i="1"/>
  <c r="EE61" i="1"/>
  <c r="EE60" i="1"/>
  <c r="EH63" i="1"/>
  <c r="EI63" i="1" s="1"/>
  <c r="EH62" i="1"/>
  <c r="HR63" i="1"/>
  <c r="HS63" i="1" s="1"/>
  <c r="HR62" i="1"/>
  <c r="HS62" i="1" s="1"/>
  <c r="IE62" i="1"/>
  <c r="IE63" i="1"/>
  <c r="HO63" i="1"/>
  <c r="HO62" i="1"/>
  <c r="GV62" i="1"/>
  <c r="GW62" i="1" s="1"/>
  <c r="GV63" i="1"/>
  <c r="GW63" i="1" s="1"/>
  <c r="GT63" i="1"/>
  <c r="HE63" i="1" s="1"/>
  <c r="GT62" i="1"/>
  <c r="HE62" i="1" s="1"/>
  <c r="GT61" i="1"/>
  <c r="HE61" i="1" s="1"/>
  <c r="GS63" i="1"/>
  <c r="HC63" i="1" s="1"/>
  <c r="GS62" i="1"/>
  <c r="HC62" i="1" s="1"/>
  <c r="FD63" i="1"/>
  <c r="FE63" i="1" s="1"/>
  <c r="FD62" i="1"/>
  <c r="FE62" i="1" s="1"/>
  <c r="FD60" i="1"/>
  <c r="FE60" i="1" s="1"/>
  <c r="FB63" i="1"/>
  <c r="FB62" i="1"/>
  <c r="FB61" i="1"/>
  <c r="FB60" i="1"/>
  <c r="FM60" i="1" s="1"/>
  <c r="FA63" i="1"/>
  <c r="FA62" i="1"/>
  <c r="FA61" i="1"/>
  <c r="FA60" i="1"/>
  <c r="FW63" i="1"/>
  <c r="FZ63" i="1"/>
  <c r="GA63" i="1" s="1"/>
  <c r="FX61" i="1"/>
  <c r="CR62" i="1"/>
  <c r="CS62" i="1" s="1"/>
  <c r="CR61" i="1"/>
  <c r="CP63" i="1"/>
  <c r="CQ63" i="1" s="1"/>
  <c r="CP62" i="1"/>
  <c r="CN63" i="1"/>
  <c r="CN62" i="1"/>
  <c r="CN61" i="1"/>
  <c r="CN60" i="1"/>
  <c r="CM63" i="1"/>
  <c r="CM62" i="1"/>
  <c r="CM61" i="1"/>
  <c r="CM60" i="1"/>
  <c r="DL63" i="1"/>
  <c r="DM63" i="1" s="1"/>
  <c r="DL62" i="1"/>
  <c r="DM62" i="1" s="1"/>
  <c r="DL61" i="1"/>
  <c r="DM61" i="1" s="1"/>
  <c r="DN61" i="1"/>
  <c r="DJ63" i="1"/>
  <c r="DJ62" i="1"/>
  <c r="DJ61" i="1"/>
  <c r="DJ60" i="1"/>
  <c r="DU60" i="1" s="1"/>
  <c r="DI63" i="1"/>
  <c r="DI62" i="1"/>
  <c r="DI61" i="1"/>
  <c r="DI60" i="1"/>
  <c r="P31" i="12" l="1"/>
  <c r="E41" i="12"/>
  <c r="P43" i="12"/>
  <c r="L44" i="12"/>
  <c r="P47" i="12"/>
  <c r="E47" i="12"/>
  <c r="P41" i="12"/>
  <c r="P60" i="12"/>
  <c r="P62" i="12"/>
  <c r="P64" i="12"/>
  <c r="P66" i="12"/>
  <c r="P68" i="12"/>
  <c r="P70" i="12"/>
  <c r="P72" i="12"/>
  <c r="P33" i="12"/>
  <c r="P35" i="12" s="1"/>
  <c r="P37" i="12"/>
  <c r="P38" i="12" s="1"/>
  <c r="P48" i="12"/>
  <c r="P51" i="12" s="1"/>
  <c r="P52" i="12"/>
  <c r="P54" i="12" s="1"/>
  <c r="O20" i="12"/>
  <c r="E51" i="12"/>
  <c r="E54" i="12"/>
  <c r="E13" i="12"/>
  <c r="E20" i="12" s="1"/>
  <c r="P42" i="12"/>
  <c r="P44" i="12"/>
  <c r="HJ22" i="1"/>
  <c r="DZ22" i="1"/>
  <c r="G17" i="8"/>
  <c r="R22" i="1"/>
  <c r="R81" i="1"/>
  <c r="HH22" i="1"/>
  <c r="HH81" i="1"/>
  <c r="IF22" i="1"/>
  <c r="HO22" i="1"/>
  <c r="HP22" i="1"/>
  <c r="HR22" i="1"/>
  <c r="HT22" i="1"/>
  <c r="HX22" i="1"/>
  <c r="HV22" i="1"/>
  <c r="HQ22" i="1"/>
  <c r="ID22" i="1"/>
  <c r="ID81" i="1"/>
  <c r="IZ22" i="1"/>
  <c r="IZ81" i="1"/>
  <c r="IL22" i="1"/>
  <c r="IN22" i="1"/>
  <c r="IU61" i="1"/>
  <c r="IV61" i="1"/>
  <c r="IU62" i="1"/>
  <c r="IV62" i="1"/>
  <c r="IU63" i="1"/>
  <c r="IV63" i="1"/>
  <c r="HZ65" i="1"/>
  <c r="HY65" i="1"/>
  <c r="HZ68" i="1"/>
  <c r="HY68" i="1"/>
  <c r="HZ67" i="1"/>
  <c r="HY67" i="1"/>
  <c r="HZ66" i="1"/>
  <c r="HY66" i="1"/>
  <c r="HZ73" i="1"/>
  <c r="HY73" i="1"/>
  <c r="HZ72" i="1"/>
  <c r="HY72" i="1"/>
  <c r="HZ71" i="1"/>
  <c r="HY71" i="1"/>
  <c r="HZ70" i="1"/>
  <c r="HY70" i="1"/>
  <c r="HZ69" i="1"/>
  <c r="HY69" i="1"/>
  <c r="HZ78" i="1"/>
  <c r="HY78" i="1"/>
  <c r="HZ77" i="1"/>
  <c r="HY77" i="1"/>
  <c r="HZ76" i="1"/>
  <c r="HY76" i="1"/>
  <c r="HZ75" i="1"/>
  <c r="HY75" i="1"/>
  <c r="HZ74" i="1"/>
  <c r="HY74" i="1"/>
  <c r="IV65" i="1"/>
  <c r="IU65" i="1"/>
  <c r="IV78" i="1"/>
  <c r="IU78" i="1"/>
  <c r="IV77" i="1"/>
  <c r="IU77" i="1"/>
  <c r="IV76" i="1"/>
  <c r="IU76" i="1"/>
  <c r="IV75" i="1"/>
  <c r="IU75" i="1"/>
  <c r="IV74" i="1"/>
  <c r="IU74" i="1"/>
  <c r="IV73" i="1"/>
  <c r="IU73" i="1"/>
  <c r="IV72" i="1"/>
  <c r="IU72" i="1"/>
  <c r="IV71" i="1"/>
  <c r="IU71" i="1"/>
  <c r="IV70" i="1"/>
  <c r="IU70" i="1"/>
  <c r="IV69" i="1"/>
  <c r="IU69" i="1"/>
  <c r="IV68" i="1"/>
  <c r="IU68" i="1"/>
  <c r="IV67" i="1"/>
  <c r="IU67" i="1"/>
  <c r="IV66" i="1"/>
  <c r="IU66" i="1"/>
  <c r="GQ22" i="13"/>
  <c r="T20" i="12"/>
  <c r="O75" i="12"/>
  <c r="DT60" i="1"/>
  <c r="DS60" i="1"/>
  <c r="DT61" i="1"/>
  <c r="DS61" i="1"/>
  <c r="DT62" i="1"/>
  <c r="DS62" i="1"/>
  <c r="DT63" i="1"/>
  <c r="DS63" i="1"/>
  <c r="DY61" i="1"/>
  <c r="DU61" i="1"/>
  <c r="DY62" i="1"/>
  <c r="DU62" i="1"/>
  <c r="DY63" i="1"/>
  <c r="DU63" i="1"/>
  <c r="DN64" i="1"/>
  <c r="DO61" i="1"/>
  <c r="CX60" i="1"/>
  <c r="CW60" i="1"/>
  <c r="CX61" i="1"/>
  <c r="CW61" i="1"/>
  <c r="CX62" i="1"/>
  <c r="CW62" i="1"/>
  <c r="CX63" i="1"/>
  <c r="CW63" i="1"/>
  <c r="DC60" i="1"/>
  <c r="CY60" i="1"/>
  <c r="DC61" i="1"/>
  <c r="CY61" i="1"/>
  <c r="DC62" i="1"/>
  <c r="CY62" i="1"/>
  <c r="DC63" i="1"/>
  <c r="CY63" i="1"/>
  <c r="CP64" i="1"/>
  <c r="CQ62" i="1"/>
  <c r="CR64" i="1"/>
  <c r="CS61" i="1"/>
  <c r="GM61" i="1"/>
  <c r="GI61" i="1"/>
  <c r="GG63" i="1"/>
  <c r="GH63" i="1"/>
  <c r="FL60" i="1"/>
  <c r="FK60" i="1"/>
  <c r="FK61" i="1"/>
  <c r="FL61" i="1"/>
  <c r="FK62" i="1"/>
  <c r="FL62" i="1"/>
  <c r="FK63" i="1"/>
  <c r="FL63" i="1"/>
  <c r="FQ61" i="1"/>
  <c r="FM61" i="1"/>
  <c r="FQ62" i="1"/>
  <c r="FM62" i="1"/>
  <c r="FQ63" i="1"/>
  <c r="FM63" i="1"/>
  <c r="EH64" i="1"/>
  <c r="EI62" i="1"/>
  <c r="E20" i="8"/>
  <c r="J56" i="12"/>
  <c r="K56" i="12" s="1"/>
  <c r="K61" i="1"/>
  <c r="J58" i="12"/>
  <c r="K58" i="12" s="1"/>
  <c r="K63" i="1"/>
  <c r="AI20" i="1"/>
  <c r="AJ20" i="1"/>
  <c r="AJ19" i="1"/>
  <c r="AI19" i="1"/>
  <c r="AJ13" i="1"/>
  <c r="AI13" i="1"/>
  <c r="AI14" i="1"/>
  <c r="AJ14" i="1"/>
  <c r="AJ16" i="1"/>
  <c r="AI16" i="1"/>
  <c r="AI17" i="1"/>
  <c r="AJ17" i="1"/>
  <c r="AJ6" i="1"/>
  <c r="AI6" i="1"/>
  <c r="AI8" i="1"/>
  <c r="AJ8" i="1"/>
  <c r="AI7" i="1"/>
  <c r="AJ7" i="1"/>
  <c r="AI11" i="1"/>
  <c r="AJ11" i="1"/>
  <c r="AI10" i="1"/>
  <c r="AJ10" i="1"/>
  <c r="AI9" i="1"/>
  <c r="AJ9" i="1"/>
  <c r="AJ23" i="1"/>
  <c r="AI23" i="1"/>
  <c r="AI24" i="1"/>
  <c r="AJ24" i="1"/>
  <c r="AI25" i="1"/>
  <c r="AJ25" i="1"/>
  <c r="AI26" i="1"/>
  <c r="AJ26" i="1"/>
  <c r="AI27" i="1"/>
  <c r="AJ27" i="1"/>
  <c r="AI28" i="1"/>
  <c r="AJ28" i="1"/>
  <c r="AI32" i="1"/>
  <c r="AJ32" i="1"/>
  <c r="AI31" i="1"/>
  <c r="AJ31" i="1"/>
  <c r="AI30" i="1"/>
  <c r="AJ30" i="1"/>
  <c r="AI29" i="1"/>
  <c r="AJ29" i="1"/>
  <c r="CB39" i="1"/>
  <c r="CA39" i="1"/>
  <c r="Q51" i="8"/>
  <c r="Q53" i="8"/>
  <c r="Q52" i="8"/>
  <c r="Q55" i="8"/>
  <c r="Q56" i="8"/>
  <c r="Q58" i="8"/>
  <c r="Q61" i="8"/>
  <c r="Q60" i="8"/>
  <c r="Q59" i="8"/>
  <c r="Q63" i="8"/>
  <c r="Q76" i="8"/>
  <c r="Q75" i="8"/>
  <c r="Q74" i="8"/>
  <c r="Q73" i="8"/>
  <c r="Q72" i="8"/>
  <c r="Q71" i="8"/>
  <c r="Q70" i="8"/>
  <c r="Q69" i="8"/>
  <c r="Q68" i="8"/>
  <c r="Q67" i="8"/>
  <c r="Q66" i="8"/>
  <c r="Q65" i="8"/>
  <c r="Q64" i="8"/>
  <c r="N51" i="8"/>
  <c r="M51" i="8"/>
  <c r="M53" i="8"/>
  <c r="N53" i="8"/>
  <c r="M52" i="8"/>
  <c r="N52" i="8"/>
  <c r="O53" i="8"/>
  <c r="O52" i="8"/>
  <c r="O51" i="8"/>
  <c r="N55" i="8"/>
  <c r="M55" i="8"/>
  <c r="M56" i="8"/>
  <c r="N56" i="8"/>
  <c r="O56" i="8"/>
  <c r="O55" i="8"/>
  <c r="M76" i="8"/>
  <c r="N76" i="8"/>
  <c r="M75" i="8"/>
  <c r="N75" i="8"/>
  <c r="M74" i="8"/>
  <c r="N74" i="8"/>
  <c r="M73" i="8"/>
  <c r="N73" i="8"/>
  <c r="M72" i="8"/>
  <c r="N72" i="8"/>
  <c r="M71" i="8"/>
  <c r="N71" i="8"/>
  <c r="M70" i="8"/>
  <c r="N70" i="8"/>
  <c r="M69" i="8"/>
  <c r="N69" i="8"/>
  <c r="M68" i="8"/>
  <c r="N68" i="8"/>
  <c r="M67" i="8"/>
  <c r="N67" i="8"/>
  <c r="M66" i="8"/>
  <c r="N66" i="8"/>
  <c r="M65" i="8"/>
  <c r="N65" i="8"/>
  <c r="M64" i="8"/>
  <c r="N64" i="8"/>
  <c r="O76" i="8"/>
  <c r="O75" i="8"/>
  <c r="O74" i="8"/>
  <c r="O73" i="8"/>
  <c r="O72" i="8"/>
  <c r="O71" i="8"/>
  <c r="O70" i="8"/>
  <c r="O69" i="8"/>
  <c r="O68" i="8"/>
  <c r="O67" i="8"/>
  <c r="O66" i="8"/>
  <c r="O65" i="8"/>
  <c r="O64" i="8"/>
  <c r="O63" i="8"/>
  <c r="CB60" i="1"/>
  <c r="CA60" i="1"/>
  <c r="CB61" i="1"/>
  <c r="CA61" i="1"/>
  <c r="CB62" i="1"/>
  <c r="CA62" i="1"/>
  <c r="CA63" i="1"/>
  <c r="CB63" i="1"/>
  <c r="BF60" i="1"/>
  <c r="BE60" i="1"/>
  <c r="BF61" i="1"/>
  <c r="BE61" i="1"/>
  <c r="BF62" i="1"/>
  <c r="BE62" i="1"/>
  <c r="BF63" i="1"/>
  <c r="BE63" i="1"/>
  <c r="AJ60" i="1"/>
  <c r="AI60" i="1"/>
  <c r="AI61" i="1"/>
  <c r="AJ61" i="1"/>
  <c r="AI62" i="1"/>
  <c r="AJ62" i="1"/>
  <c r="AI63" i="1"/>
  <c r="AJ63" i="1"/>
  <c r="M60" i="1"/>
  <c r="N60" i="1"/>
  <c r="M61" i="1"/>
  <c r="N61" i="1"/>
  <c r="M62" i="1"/>
  <c r="N62" i="1"/>
  <c r="M63" i="1"/>
  <c r="N63" i="1"/>
  <c r="O62" i="1"/>
  <c r="O63" i="1"/>
  <c r="P51" i="8"/>
  <c r="P53" i="8"/>
  <c r="P52" i="8"/>
  <c r="P55" i="8"/>
  <c r="P56" i="8"/>
  <c r="P58" i="8"/>
  <c r="P61" i="8"/>
  <c r="P60" i="8"/>
  <c r="P59" i="8"/>
  <c r="P63" i="8"/>
  <c r="P76" i="8"/>
  <c r="P75" i="8"/>
  <c r="P74" i="8"/>
  <c r="P73" i="8"/>
  <c r="P72" i="8"/>
  <c r="P71" i="8"/>
  <c r="P70" i="8"/>
  <c r="P69" i="8"/>
  <c r="P68" i="8"/>
  <c r="P67" i="8"/>
  <c r="P66" i="8"/>
  <c r="P65" i="8"/>
  <c r="P64" i="8"/>
  <c r="FK39" i="1"/>
  <c r="FL39" i="1"/>
  <c r="GG39" i="1"/>
  <c r="GH39" i="1"/>
  <c r="N63" i="8"/>
  <c r="M63" i="8"/>
  <c r="FL65" i="1"/>
  <c r="FK65" i="1"/>
  <c r="FK69" i="1"/>
  <c r="FL69" i="1"/>
  <c r="FK68" i="1"/>
  <c r="FL68" i="1"/>
  <c r="FK67" i="1"/>
  <c r="FL67" i="1"/>
  <c r="FK66" i="1"/>
  <c r="FL66" i="1"/>
  <c r="FK73" i="1"/>
  <c r="FL73" i="1"/>
  <c r="FK72" i="1"/>
  <c r="FL72" i="1"/>
  <c r="FK71" i="1"/>
  <c r="FL71" i="1"/>
  <c r="FK70" i="1"/>
  <c r="FL70" i="1"/>
  <c r="FK78" i="1"/>
  <c r="FL78" i="1"/>
  <c r="FK77" i="1"/>
  <c r="FL77" i="1"/>
  <c r="FK76" i="1"/>
  <c r="FL76" i="1"/>
  <c r="FK75" i="1"/>
  <c r="FL75" i="1"/>
  <c r="FK74" i="1"/>
  <c r="FL74" i="1"/>
  <c r="GH65" i="1"/>
  <c r="GG65" i="1"/>
  <c r="GG66" i="1"/>
  <c r="GH66" i="1"/>
  <c r="GG67" i="1"/>
  <c r="GH67" i="1"/>
  <c r="GG68" i="1"/>
  <c r="GH68" i="1"/>
  <c r="GG69" i="1"/>
  <c r="GH69" i="1"/>
  <c r="GG70" i="1"/>
  <c r="GH70" i="1"/>
  <c r="GG71" i="1"/>
  <c r="GH71" i="1"/>
  <c r="GG72" i="1"/>
  <c r="GH72" i="1"/>
  <c r="GG73" i="1"/>
  <c r="GH73" i="1"/>
  <c r="GG74" i="1"/>
  <c r="GH74" i="1"/>
  <c r="GG75" i="1"/>
  <c r="GH75" i="1"/>
  <c r="GG76" i="1"/>
  <c r="GH76" i="1"/>
  <c r="GG77" i="1"/>
  <c r="GH77" i="1"/>
  <c r="GG78" i="1"/>
  <c r="GH78" i="1"/>
  <c r="N65" i="1"/>
  <c r="M65" i="1"/>
  <c r="M71" i="1"/>
  <c r="N71" i="1"/>
  <c r="M70" i="1"/>
  <c r="N70" i="1"/>
  <c r="M69" i="1"/>
  <c r="N69" i="1"/>
  <c r="M68" i="1"/>
  <c r="N68" i="1"/>
  <c r="M67" i="1"/>
  <c r="N67" i="1"/>
  <c r="M66" i="1"/>
  <c r="N66" i="1"/>
  <c r="M78" i="1"/>
  <c r="N78" i="1"/>
  <c r="M77" i="1"/>
  <c r="N77" i="1"/>
  <c r="M76" i="1"/>
  <c r="N76" i="1"/>
  <c r="M75" i="1"/>
  <c r="N75" i="1"/>
  <c r="M74" i="1"/>
  <c r="N74" i="1"/>
  <c r="M73" i="1"/>
  <c r="N73" i="1"/>
  <c r="M72" i="1"/>
  <c r="N72" i="1"/>
  <c r="AJ65" i="1"/>
  <c r="AI65" i="1"/>
  <c r="AI70" i="1"/>
  <c r="AJ70" i="1"/>
  <c r="AI69" i="1"/>
  <c r="AJ69" i="1"/>
  <c r="AI68" i="1"/>
  <c r="AJ68" i="1"/>
  <c r="AI67" i="1"/>
  <c r="AJ67" i="1"/>
  <c r="AI66" i="1"/>
  <c r="AJ66" i="1"/>
  <c r="AI74" i="1"/>
  <c r="AJ74" i="1"/>
  <c r="AI73" i="1"/>
  <c r="AJ73" i="1"/>
  <c r="AI72" i="1"/>
  <c r="AJ72" i="1"/>
  <c r="AI71" i="1"/>
  <c r="AJ71" i="1"/>
  <c r="AI78" i="1"/>
  <c r="AJ78" i="1"/>
  <c r="AI77" i="1"/>
  <c r="AJ77" i="1"/>
  <c r="AI76" i="1"/>
  <c r="AJ76" i="1"/>
  <c r="AI75" i="1"/>
  <c r="AJ75" i="1"/>
  <c r="BF65" i="1"/>
  <c r="BE65" i="1"/>
  <c r="BE78" i="1"/>
  <c r="BF78" i="1"/>
  <c r="BE77" i="1"/>
  <c r="BF77" i="1"/>
  <c r="BE76" i="1"/>
  <c r="BF76" i="1"/>
  <c r="BE75" i="1"/>
  <c r="BF75" i="1"/>
  <c r="BE74" i="1"/>
  <c r="BF74" i="1"/>
  <c r="BE73" i="1"/>
  <c r="BF73" i="1"/>
  <c r="BE72" i="1"/>
  <c r="BF72" i="1"/>
  <c r="BE71" i="1"/>
  <c r="BF71" i="1"/>
  <c r="BE70" i="1"/>
  <c r="BF70" i="1"/>
  <c r="BE69" i="1"/>
  <c r="BF69" i="1"/>
  <c r="BF68" i="1"/>
  <c r="BE68" i="1"/>
  <c r="BF67" i="1"/>
  <c r="BE67" i="1"/>
  <c r="BF66" i="1"/>
  <c r="BE66" i="1"/>
  <c r="CB65" i="1"/>
  <c r="CA65" i="1"/>
  <c r="CA78" i="1"/>
  <c r="CB78" i="1"/>
  <c r="CA77" i="1"/>
  <c r="CB77" i="1"/>
  <c r="CA76" i="1"/>
  <c r="CB76" i="1"/>
  <c r="CA75" i="1"/>
  <c r="CB75" i="1"/>
  <c r="CA74" i="1"/>
  <c r="CB74" i="1"/>
  <c r="CA73" i="1"/>
  <c r="CB73" i="1"/>
  <c r="CA72" i="1"/>
  <c r="CB72" i="1"/>
  <c r="CA71" i="1"/>
  <c r="CB71" i="1"/>
  <c r="CA70" i="1"/>
  <c r="CB70" i="1"/>
  <c r="CA69" i="1"/>
  <c r="CB69" i="1"/>
  <c r="CA68" i="1"/>
  <c r="CB68" i="1"/>
  <c r="CB67" i="1"/>
  <c r="CA67" i="1"/>
  <c r="CB66" i="1"/>
  <c r="CA66" i="1"/>
  <c r="CX65" i="1"/>
  <c r="CW65" i="1"/>
  <c r="CW78" i="1"/>
  <c r="CX78" i="1"/>
  <c r="CW77" i="1"/>
  <c r="CX77" i="1"/>
  <c r="CW76" i="1"/>
  <c r="CX76" i="1"/>
  <c r="CW75" i="1"/>
  <c r="CX75" i="1"/>
  <c r="CW74" i="1"/>
  <c r="CX74" i="1"/>
  <c r="CW73" i="1"/>
  <c r="CX73" i="1"/>
  <c r="CW72" i="1"/>
  <c r="CX72" i="1"/>
  <c r="CW71" i="1"/>
  <c r="CX71" i="1"/>
  <c r="CW70" i="1"/>
  <c r="CX70" i="1"/>
  <c r="CW69" i="1"/>
  <c r="CX69" i="1"/>
  <c r="CW68" i="1"/>
  <c r="CX68" i="1"/>
  <c r="CW67" i="1"/>
  <c r="CX67" i="1"/>
  <c r="CX66" i="1"/>
  <c r="CW66" i="1"/>
  <c r="DT65" i="1"/>
  <c r="DS65" i="1"/>
  <c r="DS78" i="1"/>
  <c r="DT78" i="1"/>
  <c r="DS77" i="1"/>
  <c r="DT77" i="1"/>
  <c r="DS76" i="1"/>
  <c r="DT76" i="1"/>
  <c r="DS75" i="1"/>
  <c r="DT75" i="1"/>
  <c r="DS74" i="1"/>
  <c r="DT74" i="1"/>
  <c r="DS73" i="1"/>
  <c r="DT73" i="1"/>
  <c r="DS72" i="1"/>
  <c r="DT72" i="1"/>
  <c r="DS71" i="1"/>
  <c r="DT71" i="1"/>
  <c r="DS70" i="1"/>
  <c r="DT70" i="1"/>
  <c r="DS69" i="1"/>
  <c r="DT69" i="1"/>
  <c r="DT68" i="1"/>
  <c r="DS68" i="1"/>
  <c r="DT67" i="1"/>
  <c r="DS67" i="1"/>
  <c r="DT66" i="1"/>
  <c r="DS66" i="1"/>
  <c r="EP65" i="1"/>
  <c r="EO65" i="1"/>
  <c r="EO78" i="1"/>
  <c r="EP78" i="1"/>
  <c r="EO77" i="1"/>
  <c r="EP77" i="1"/>
  <c r="EO76" i="1"/>
  <c r="EP76" i="1"/>
  <c r="EO75" i="1"/>
  <c r="EP75" i="1"/>
  <c r="EO74" i="1"/>
  <c r="EP74" i="1"/>
  <c r="EO73" i="1"/>
  <c r="EP73" i="1"/>
  <c r="EO72" i="1"/>
  <c r="EP72" i="1"/>
  <c r="EO71" i="1"/>
  <c r="EP71" i="1"/>
  <c r="EO70" i="1"/>
  <c r="EP70" i="1"/>
  <c r="EO69" i="1"/>
  <c r="EP69" i="1"/>
  <c r="EO68" i="1"/>
  <c r="EP68" i="1"/>
  <c r="EO67" i="1"/>
  <c r="EP67" i="1"/>
  <c r="EO66" i="1"/>
  <c r="EP66" i="1"/>
  <c r="G4" i="8"/>
  <c r="G5" i="8"/>
  <c r="G6" i="8"/>
  <c r="G7" i="8"/>
  <c r="G8" i="8"/>
  <c r="G9" i="8"/>
  <c r="I4" i="8"/>
  <c r="I5" i="8"/>
  <c r="I6" i="8"/>
  <c r="I7" i="8"/>
  <c r="I8" i="8"/>
  <c r="I9" i="8"/>
  <c r="K4" i="8"/>
  <c r="K9" i="8"/>
  <c r="K8" i="8"/>
  <c r="K7" i="8"/>
  <c r="K6" i="8"/>
  <c r="K5" i="8"/>
  <c r="I11" i="8"/>
  <c r="I12" i="8"/>
  <c r="I14" i="8"/>
  <c r="I15" i="8"/>
  <c r="I17" i="8"/>
  <c r="I18" i="8"/>
  <c r="K11" i="8"/>
  <c r="K12" i="8"/>
  <c r="K14" i="8"/>
  <c r="K15" i="8"/>
  <c r="K17" i="8"/>
  <c r="K18" i="8"/>
  <c r="Q9" i="8"/>
  <c r="Q8" i="8"/>
  <c r="Q7" i="8"/>
  <c r="Q6" i="8"/>
  <c r="Q5" i="8"/>
  <c r="Q11" i="8"/>
  <c r="Q12" i="8"/>
  <c r="Q14" i="8"/>
  <c r="Q15" i="8"/>
  <c r="Q17" i="8"/>
  <c r="Q18" i="8"/>
  <c r="K21" i="8"/>
  <c r="K30" i="8"/>
  <c r="K29" i="8"/>
  <c r="K28" i="8"/>
  <c r="K27" i="8"/>
  <c r="K26" i="8"/>
  <c r="K25" i="8"/>
  <c r="K24" i="8"/>
  <c r="K23" i="8"/>
  <c r="K22" i="8"/>
  <c r="K32" i="8"/>
  <c r="K34" i="8"/>
  <c r="K33" i="8"/>
  <c r="K36" i="8"/>
  <c r="K37" i="8"/>
  <c r="K39" i="8"/>
  <c r="K40" i="8"/>
  <c r="K42" i="8"/>
  <c r="K43" i="8"/>
  <c r="K45" i="8"/>
  <c r="K46" i="8"/>
  <c r="K48" i="8"/>
  <c r="K49" i="8"/>
  <c r="K51" i="8"/>
  <c r="K53" i="8"/>
  <c r="K52" i="8"/>
  <c r="K55" i="8"/>
  <c r="K56" i="8"/>
  <c r="K63" i="8"/>
  <c r="K76" i="8"/>
  <c r="K75" i="8"/>
  <c r="K74" i="8"/>
  <c r="K73" i="8"/>
  <c r="K72" i="8"/>
  <c r="K71" i="8"/>
  <c r="K70" i="8"/>
  <c r="K69" i="8"/>
  <c r="K68" i="8"/>
  <c r="K67" i="8"/>
  <c r="K66" i="8"/>
  <c r="K65" i="8"/>
  <c r="K64" i="8"/>
  <c r="Q21" i="8"/>
  <c r="Q30" i="8"/>
  <c r="Q29" i="8"/>
  <c r="Q28" i="8"/>
  <c r="Q27" i="8"/>
  <c r="Q26" i="8"/>
  <c r="Q25" i="8"/>
  <c r="Q24" i="8"/>
  <c r="Q23" i="8"/>
  <c r="Q22" i="8"/>
  <c r="Q32" i="8"/>
  <c r="Q34" i="8"/>
  <c r="Q33" i="8"/>
  <c r="Q36" i="8"/>
  <c r="Q37" i="8"/>
  <c r="Q39" i="8"/>
  <c r="Q40" i="8"/>
  <c r="Q42" i="8"/>
  <c r="Q43" i="8"/>
  <c r="Q45" i="8"/>
  <c r="Q46" i="8"/>
  <c r="Q48" i="8"/>
  <c r="Q49" i="8"/>
  <c r="I21" i="8"/>
  <c r="I30" i="8"/>
  <c r="I29" i="8"/>
  <c r="I28" i="8"/>
  <c r="I27" i="8"/>
  <c r="I26" i="8"/>
  <c r="I25" i="8"/>
  <c r="I24" i="8"/>
  <c r="I23" i="8"/>
  <c r="I22" i="8"/>
  <c r="I32" i="8"/>
  <c r="I34" i="8"/>
  <c r="I33" i="8"/>
  <c r="I36" i="8"/>
  <c r="I37" i="8"/>
  <c r="I39" i="8"/>
  <c r="I40" i="8"/>
  <c r="I42" i="8"/>
  <c r="I43" i="8"/>
  <c r="I45" i="8"/>
  <c r="I46" i="8"/>
  <c r="I48" i="8"/>
  <c r="I49" i="8"/>
  <c r="I51" i="8"/>
  <c r="I53" i="8"/>
  <c r="I52" i="8"/>
  <c r="I55" i="8"/>
  <c r="I56" i="8"/>
  <c r="I63" i="8"/>
  <c r="I76" i="8"/>
  <c r="I75" i="8"/>
  <c r="I74" i="8"/>
  <c r="I73" i="8"/>
  <c r="I72" i="8"/>
  <c r="I71" i="8"/>
  <c r="I70" i="8"/>
  <c r="I69" i="8"/>
  <c r="I68" i="8"/>
  <c r="I67" i="8"/>
  <c r="I66" i="8"/>
  <c r="I65" i="8"/>
  <c r="I64" i="8"/>
  <c r="G11" i="8"/>
  <c r="G12" i="8"/>
  <c r="G14" i="8"/>
  <c r="G15" i="8"/>
  <c r="G18" i="8"/>
  <c r="G21" i="8"/>
  <c r="G30" i="8"/>
  <c r="G29" i="8"/>
  <c r="G28" i="8"/>
  <c r="G27" i="8"/>
  <c r="G26" i="8"/>
  <c r="G25" i="8"/>
  <c r="G24" i="8"/>
  <c r="G23" i="8"/>
  <c r="G22" i="8"/>
  <c r="G32" i="8"/>
  <c r="G34" i="8"/>
  <c r="G33" i="8"/>
  <c r="G36" i="8"/>
  <c r="G37" i="8"/>
  <c r="G39" i="8"/>
  <c r="G40" i="8"/>
  <c r="G42" i="8"/>
  <c r="G43" i="8"/>
  <c r="G45" i="8"/>
  <c r="G46" i="8"/>
  <c r="G48" i="8"/>
  <c r="G49" i="8"/>
  <c r="G51" i="8"/>
  <c r="G53" i="8"/>
  <c r="G52" i="8"/>
  <c r="G55" i="8"/>
  <c r="G56" i="8"/>
  <c r="G63" i="8"/>
  <c r="G76" i="8"/>
  <c r="G75" i="8"/>
  <c r="G74" i="8"/>
  <c r="G73" i="8"/>
  <c r="G72" i="8"/>
  <c r="G71" i="8"/>
  <c r="G70" i="8"/>
  <c r="G69" i="8"/>
  <c r="G68" i="8"/>
  <c r="G67" i="8"/>
  <c r="G66" i="8"/>
  <c r="G65" i="8"/>
  <c r="G64" i="8"/>
  <c r="O12" i="8"/>
  <c r="O18" i="8"/>
  <c r="O17" i="8"/>
  <c r="O30" i="8"/>
  <c r="O29" i="8"/>
  <c r="O28" i="8"/>
  <c r="O27" i="8"/>
  <c r="O26" i="8"/>
  <c r="O25" i="8"/>
  <c r="O24" i="8"/>
  <c r="O23" i="8"/>
  <c r="O22" i="8"/>
  <c r="O21" i="8"/>
  <c r="N32" i="8"/>
  <c r="M32" i="8"/>
  <c r="M34" i="8"/>
  <c r="N34" i="8"/>
  <c r="M33" i="8"/>
  <c r="N33" i="8"/>
  <c r="O34" i="8"/>
  <c r="O33" i="8"/>
  <c r="O32" i="8"/>
  <c r="N36" i="8"/>
  <c r="M36" i="8"/>
  <c r="O37" i="8"/>
  <c r="O36" i="8"/>
  <c r="N39" i="8"/>
  <c r="M39" i="8"/>
  <c r="M40" i="8"/>
  <c r="N40" i="8"/>
  <c r="O40" i="8"/>
  <c r="O39" i="8"/>
  <c r="N42" i="8"/>
  <c r="M42" i="8"/>
  <c r="M43" i="8"/>
  <c r="N43" i="8"/>
  <c r="O42" i="8"/>
  <c r="N45" i="8"/>
  <c r="M45" i="8"/>
  <c r="M46" i="8"/>
  <c r="N46" i="8"/>
  <c r="O46" i="8"/>
  <c r="O45" i="8"/>
  <c r="N48" i="8"/>
  <c r="M48" i="8"/>
  <c r="M49" i="8"/>
  <c r="N49" i="8"/>
  <c r="O49" i="8"/>
  <c r="O48" i="8"/>
  <c r="O15" i="8"/>
  <c r="O14" i="8"/>
  <c r="O11" i="8"/>
  <c r="O9" i="8"/>
  <c r="O5" i="8"/>
  <c r="O4" i="8"/>
  <c r="O43" i="8"/>
  <c r="P4" i="8"/>
  <c r="P5" i="8"/>
  <c r="P6" i="8"/>
  <c r="P7" i="8"/>
  <c r="P8" i="8"/>
  <c r="P9" i="8"/>
  <c r="P11" i="8"/>
  <c r="P12" i="8"/>
  <c r="P14" i="8"/>
  <c r="P15" i="8"/>
  <c r="P17" i="8"/>
  <c r="P18" i="8"/>
  <c r="P21" i="8"/>
  <c r="P25" i="8"/>
  <c r="P24" i="8"/>
  <c r="P23" i="8"/>
  <c r="P22" i="8"/>
  <c r="P30" i="8"/>
  <c r="P29" i="8"/>
  <c r="P28" i="8"/>
  <c r="P27" i="8"/>
  <c r="P26" i="8"/>
  <c r="P32" i="8"/>
  <c r="P34" i="8"/>
  <c r="P33" i="8"/>
  <c r="P36" i="8"/>
  <c r="P37" i="8"/>
  <c r="P39" i="8"/>
  <c r="P40" i="8"/>
  <c r="P42" i="8"/>
  <c r="P43" i="8"/>
  <c r="P45" i="8"/>
  <c r="P46" i="8"/>
  <c r="P48" i="8"/>
  <c r="P49" i="8"/>
  <c r="Q4" i="8"/>
  <c r="HI62" i="1"/>
  <c r="HI63" i="1"/>
  <c r="HZ62" i="1"/>
  <c r="HZ63" i="1"/>
  <c r="IR64" i="1"/>
  <c r="IS61" i="1"/>
  <c r="HD65" i="1"/>
  <c r="HC65" i="1"/>
  <c r="HD69" i="1"/>
  <c r="HC69" i="1"/>
  <c r="HD68" i="1"/>
  <c r="HC68" i="1"/>
  <c r="HD67" i="1"/>
  <c r="HC67" i="1"/>
  <c r="HD66" i="1"/>
  <c r="HC66" i="1"/>
  <c r="HD70" i="1"/>
  <c r="HC70" i="1"/>
  <c r="HD71" i="1"/>
  <c r="HC71" i="1"/>
  <c r="HD72" i="1"/>
  <c r="HC72" i="1"/>
  <c r="HD75" i="1"/>
  <c r="HC75" i="1"/>
  <c r="HD74" i="1"/>
  <c r="HC74" i="1"/>
  <c r="HD73" i="1"/>
  <c r="HC73" i="1"/>
  <c r="HD78" i="1"/>
  <c r="HC78" i="1"/>
  <c r="HD77" i="1"/>
  <c r="HC77" i="1"/>
  <c r="HD76" i="1"/>
  <c r="HC76" i="1"/>
  <c r="IX43" i="1"/>
  <c r="IX12" i="1"/>
  <c r="IX33" i="1"/>
  <c r="IX40" i="1"/>
  <c r="IX46" i="1"/>
  <c r="IX52" i="1"/>
  <c r="IX59" i="1"/>
  <c r="IX79" i="1"/>
  <c r="IX18" i="1"/>
  <c r="IX21" i="1"/>
  <c r="HD62" i="1"/>
  <c r="HD63" i="1"/>
  <c r="JC22" i="1"/>
  <c r="JA60" i="1"/>
  <c r="IO60" i="1"/>
  <c r="E10" i="12"/>
  <c r="D20" i="12"/>
  <c r="E19" i="11"/>
  <c r="IU12" i="1"/>
  <c r="JC81" i="1"/>
  <c r="JC80" i="1"/>
  <c r="IK22" i="1"/>
  <c r="R18" i="12"/>
  <c r="R17" i="12"/>
  <c r="R19" i="12" s="1"/>
  <c r="R15" i="12"/>
  <c r="R14" i="12"/>
  <c r="R12" i="12"/>
  <c r="R11" i="12"/>
  <c r="R5" i="12"/>
  <c r="R6" i="12"/>
  <c r="R7" i="12"/>
  <c r="R8" i="12"/>
  <c r="R9" i="12"/>
  <c r="R4" i="12"/>
  <c r="R10" i="12" s="1"/>
  <c r="I18" i="12"/>
  <c r="I17" i="12"/>
  <c r="I19" i="12" s="1"/>
  <c r="I15" i="12"/>
  <c r="I14" i="12"/>
  <c r="I12" i="12"/>
  <c r="I11" i="12"/>
  <c r="I5" i="12"/>
  <c r="I6" i="12"/>
  <c r="I7" i="12"/>
  <c r="I8" i="12"/>
  <c r="I9" i="12"/>
  <c r="I4" i="12"/>
  <c r="K4" i="12"/>
  <c r="S10" i="12"/>
  <c r="Q4" i="12"/>
  <c r="K5" i="12"/>
  <c r="Q5" i="12"/>
  <c r="K6" i="12"/>
  <c r="Q6" i="12"/>
  <c r="K7" i="12"/>
  <c r="Q7" i="12"/>
  <c r="K8" i="12"/>
  <c r="Q8" i="12"/>
  <c r="K9" i="12"/>
  <c r="Q9" i="12"/>
  <c r="K11" i="12"/>
  <c r="S13" i="12"/>
  <c r="Q11" i="12"/>
  <c r="K12" i="12"/>
  <c r="Q12" i="12"/>
  <c r="K14" i="12"/>
  <c r="S16" i="12"/>
  <c r="Q14" i="12"/>
  <c r="K15" i="12"/>
  <c r="Q15" i="12"/>
  <c r="K17" i="12"/>
  <c r="S19" i="12"/>
  <c r="Q17" i="12"/>
  <c r="K18" i="12"/>
  <c r="Q18" i="12"/>
  <c r="I21" i="12"/>
  <c r="K21" i="12"/>
  <c r="R21" i="12"/>
  <c r="S31" i="12"/>
  <c r="Q21" i="12"/>
  <c r="I22" i="12"/>
  <c r="K22" i="12"/>
  <c r="R22" i="12"/>
  <c r="Q22" i="12"/>
  <c r="I23" i="12"/>
  <c r="K23" i="12"/>
  <c r="R23" i="12"/>
  <c r="Q23" i="12"/>
  <c r="I24" i="12"/>
  <c r="K24" i="12"/>
  <c r="R24" i="12"/>
  <c r="Q24" i="12"/>
  <c r="I25" i="12"/>
  <c r="K25" i="12"/>
  <c r="R25" i="12"/>
  <c r="Q25" i="12"/>
  <c r="I26" i="12"/>
  <c r="K26" i="12"/>
  <c r="R26" i="12"/>
  <c r="Q26" i="12"/>
  <c r="I27" i="12"/>
  <c r="K27" i="12"/>
  <c r="R27" i="12"/>
  <c r="Q27" i="12"/>
  <c r="I28" i="12"/>
  <c r="K28" i="12"/>
  <c r="R28" i="12"/>
  <c r="Q28" i="12"/>
  <c r="I29" i="12"/>
  <c r="K29" i="12"/>
  <c r="R29" i="12"/>
  <c r="Q29" i="12"/>
  <c r="I30" i="12"/>
  <c r="K30" i="12"/>
  <c r="R30" i="12"/>
  <c r="Q30" i="12"/>
  <c r="M32" i="12"/>
  <c r="I32" i="12"/>
  <c r="K32" i="12"/>
  <c r="R32" i="12"/>
  <c r="S35" i="12"/>
  <c r="Q32" i="12"/>
  <c r="M33" i="12"/>
  <c r="I33" i="12"/>
  <c r="K33" i="12"/>
  <c r="R33" i="12"/>
  <c r="Q33" i="12"/>
  <c r="M34" i="12"/>
  <c r="I34" i="12"/>
  <c r="K34" i="12"/>
  <c r="R34" i="12"/>
  <c r="Q34" i="12"/>
  <c r="M36" i="12"/>
  <c r="I36" i="12"/>
  <c r="K36" i="12"/>
  <c r="R36" i="12"/>
  <c r="S38" i="12"/>
  <c r="Q36" i="12"/>
  <c r="I37" i="12"/>
  <c r="K37" i="12"/>
  <c r="R37" i="12"/>
  <c r="Q37" i="12"/>
  <c r="M39" i="12"/>
  <c r="I39" i="12"/>
  <c r="K39" i="12"/>
  <c r="R39" i="12"/>
  <c r="S41" i="12"/>
  <c r="Q39" i="12"/>
  <c r="M40" i="12"/>
  <c r="I40" i="12"/>
  <c r="K40" i="12"/>
  <c r="R40" i="12"/>
  <c r="Q40" i="12"/>
  <c r="M42" i="12"/>
  <c r="I42" i="12"/>
  <c r="K42" i="12"/>
  <c r="R42" i="12"/>
  <c r="S44" i="12"/>
  <c r="Q42" i="12"/>
  <c r="M43" i="12"/>
  <c r="M44" i="12" s="1"/>
  <c r="I43" i="12"/>
  <c r="K43" i="12"/>
  <c r="R43" i="12"/>
  <c r="R44" i="12" s="1"/>
  <c r="Q43" i="12"/>
  <c r="Q44" i="12" s="1"/>
  <c r="M45" i="12"/>
  <c r="I45" i="12"/>
  <c r="K45" i="12"/>
  <c r="R45" i="12"/>
  <c r="S47" i="12"/>
  <c r="Q45" i="12"/>
  <c r="M46" i="12"/>
  <c r="I46" i="12"/>
  <c r="K46" i="12"/>
  <c r="R46" i="12"/>
  <c r="Q46" i="12"/>
  <c r="M48" i="12"/>
  <c r="I48" i="12"/>
  <c r="K48" i="12"/>
  <c r="R48" i="12"/>
  <c r="S51" i="12"/>
  <c r="Q48" i="12"/>
  <c r="M49" i="12"/>
  <c r="I49" i="12"/>
  <c r="K49" i="12"/>
  <c r="R49" i="12"/>
  <c r="Q49" i="12"/>
  <c r="M50" i="12"/>
  <c r="I50" i="12"/>
  <c r="K50" i="12"/>
  <c r="R50" i="12"/>
  <c r="Q50" i="12"/>
  <c r="M52" i="12"/>
  <c r="I52" i="12"/>
  <c r="K52" i="12"/>
  <c r="R52" i="12"/>
  <c r="S54" i="12"/>
  <c r="Q52" i="12"/>
  <c r="M53" i="12"/>
  <c r="I53" i="12"/>
  <c r="K53" i="12"/>
  <c r="R53" i="12"/>
  <c r="Q53" i="12"/>
  <c r="R55" i="12"/>
  <c r="S59" i="12"/>
  <c r="Q55" i="12"/>
  <c r="R56" i="12"/>
  <c r="Q56" i="12"/>
  <c r="R57" i="12"/>
  <c r="Q57" i="12"/>
  <c r="I58" i="12"/>
  <c r="R58" i="12"/>
  <c r="Q58" i="12"/>
  <c r="I60" i="12"/>
  <c r="K60" i="12"/>
  <c r="R60" i="12"/>
  <c r="Q60" i="12"/>
  <c r="I61" i="12"/>
  <c r="K61" i="12"/>
  <c r="R61" i="12"/>
  <c r="Q61" i="12"/>
  <c r="I62" i="12"/>
  <c r="K62" i="12"/>
  <c r="R62" i="12"/>
  <c r="Q62" i="12"/>
  <c r="I63" i="12"/>
  <c r="K63" i="12"/>
  <c r="R63" i="12"/>
  <c r="Q63" i="12"/>
  <c r="I64" i="12"/>
  <c r="K64" i="12"/>
  <c r="R64" i="12"/>
  <c r="Q64" i="12"/>
  <c r="I65" i="12"/>
  <c r="K65" i="12"/>
  <c r="R65" i="12"/>
  <c r="Q65" i="12"/>
  <c r="I66" i="12"/>
  <c r="K66" i="12"/>
  <c r="R66" i="12"/>
  <c r="Q66" i="12"/>
  <c r="I67" i="12"/>
  <c r="K67" i="12"/>
  <c r="R67" i="12"/>
  <c r="Q67" i="12"/>
  <c r="I68" i="12"/>
  <c r="K68" i="12"/>
  <c r="R68" i="12"/>
  <c r="Q68" i="12"/>
  <c r="I69" i="12"/>
  <c r="K69" i="12"/>
  <c r="R69" i="12"/>
  <c r="Q69" i="12"/>
  <c r="I70" i="12"/>
  <c r="K70" i="12"/>
  <c r="R70" i="12"/>
  <c r="Q70" i="12"/>
  <c r="I71" i="12"/>
  <c r="K71" i="12"/>
  <c r="R71" i="12"/>
  <c r="Q71" i="12"/>
  <c r="I72" i="12"/>
  <c r="K72" i="12"/>
  <c r="R72" i="12"/>
  <c r="Q72" i="12"/>
  <c r="I73" i="12"/>
  <c r="K73" i="12"/>
  <c r="R73" i="12"/>
  <c r="Q73" i="12"/>
  <c r="G7" i="12"/>
  <c r="G21" i="12"/>
  <c r="G22" i="12"/>
  <c r="G23" i="12"/>
  <c r="G24" i="12"/>
  <c r="G25" i="12"/>
  <c r="G26" i="12"/>
  <c r="G27" i="12"/>
  <c r="G28" i="12"/>
  <c r="G29" i="12"/>
  <c r="G30" i="12"/>
  <c r="G32" i="12"/>
  <c r="G33" i="12"/>
  <c r="G34" i="12"/>
  <c r="G36" i="12"/>
  <c r="G37" i="12"/>
  <c r="G39" i="12"/>
  <c r="G40" i="12"/>
  <c r="G42" i="12"/>
  <c r="G43" i="12"/>
  <c r="G45" i="12"/>
  <c r="G46" i="12"/>
  <c r="G48" i="12"/>
  <c r="G49" i="12"/>
  <c r="G50" i="12"/>
  <c r="G52" i="12"/>
  <c r="G53" i="12"/>
  <c r="G60" i="12"/>
  <c r="G61" i="12"/>
  <c r="G62" i="12"/>
  <c r="G63" i="12"/>
  <c r="G64" i="12"/>
  <c r="G65" i="12"/>
  <c r="G66" i="12"/>
  <c r="G67" i="12"/>
  <c r="G68" i="12"/>
  <c r="G69" i="12"/>
  <c r="G70" i="12"/>
  <c r="G71" i="12"/>
  <c r="G72" i="12"/>
  <c r="G73" i="12"/>
  <c r="H78" i="11"/>
  <c r="C30" i="11"/>
  <c r="H9" i="11"/>
  <c r="F4" i="12"/>
  <c r="P4" i="12" s="1"/>
  <c r="C4" i="12"/>
  <c r="M4" i="12" s="1"/>
  <c r="F9" i="12"/>
  <c r="P9" i="12" s="1"/>
  <c r="C9" i="12"/>
  <c r="M9" i="12" s="1"/>
  <c r="F8" i="12"/>
  <c r="P8" i="12" s="1"/>
  <c r="C8" i="12"/>
  <c r="M8" i="12" s="1"/>
  <c r="F6" i="12"/>
  <c r="P6" i="12" s="1"/>
  <c r="C6" i="12"/>
  <c r="M6" i="12" s="1"/>
  <c r="F5" i="12"/>
  <c r="P5" i="12" s="1"/>
  <c r="C5" i="12"/>
  <c r="M5" i="12" s="1"/>
  <c r="H12" i="11"/>
  <c r="F11" i="12"/>
  <c r="F13" i="12" s="1"/>
  <c r="C10" i="11"/>
  <c r="F12" i="12"/>
  <c r="P12" i="12" s="1"/>
  <c r="C11" i="11"/>
  <c r="C12" i="12" s="1"/>
  <c r="M12" i="12" s="1"/>
  <c r="H15" i="11"/>
  <c r="F14" i="12"/>
  <c r="C13" i="11"/>
  <c r="F15" i="12"/>
  <c r="P15" i="12" s="1"/>
  <c r="C14" i="11"/>
  <c r="C15" i="12" s="1"/>
  <c r="M15" i="12" s="1"/>
  <c r="H18" i="11"/>
  <c r="H19" i="11" s="1"/>
  <c r="F17" i="12"/>
  <c r="F19" i="12" s="1"/>
  <c r="C16" i="11"/>
  <c r="F18" i="12"/>
  <c r="P18" i="12" s="1"/>
  <c r="C17" i="11"/>
  <c r="C18" i="12" s="1"/>
  <c r="M18" i="12" s="1"/>
  <c r="W12" i="13"/>
  <c r="AH6" i="13"/>
  <c r="AG6" i="13"/>
  <c r="AH7" i="13"/>
  <c r="AG7" i="13"/>
  <c r="AH8" i="13"/>
  <c r="AG8" i="13"/>
  <c r="AH9" i="13"/>
  <c r="AG9" i="13"/>
  <c r="AH10" i="13"/>
  <c r="AG10" i="13"/>
  <c r="AH11" i="13"/>
  <c r="AG11" i="13"/>
  <c r="W15" i="13"/>
  <c r="AH13" i="13"/>
  <c r="AG13" i="13"/>
  <c r="AH14" i="13"/>
  <c r="AG14" i="13"/>
  <c r="W18" i="13"/>
  <c r="AH16" i="13"/>
  <c r="AG16" i="13"/>
  <c r="AH17" i="13"/>
  <c r="AG17" i="13"/>
  <c r="W21" i="13"/>
  <c r="AH19" i="13"/>
  <c r="AG19" i="13"/>
  <c r="AH20" i="13"/>
  <c r="AG20" i="13"/>
  <c r="W33" i="13"/>
  <c r="AH23" i="13"/>
  <c r="AG23" i="13"/>
  <c r="AH24" i="13"/>
  <c r="AG24" i="13"/>
  <c r="AH25" i="13"/>
  <c r="AG25" i="13"/>
  <c r="AH26" i="13"/>
  <c r="AG26" i="13"/>
  <c r="AH27" i="13"/>
  <c r="AG27" i="13"/>
  <c r="AH28" i="13"/>
  <c r="AG28" i="13"/>
  <c r="AH29" i="13"/>
  <c r="AG29" i="13"/>
  <c r="AH30" i="13"/>
  <c r="AG30" i="13"/>
  <c r="AH31" i="13"/>
  <c r="AG31" i="13"/>
  <c r="AH32" i="13"/>
  <c r="AG32" i="13"/>
  <c r="BK40" i="13"/>
  <c r="BV39" i="13"/>
  <c r="BV40" i="13" s="1"/>
  <c r="BU39" i="13"/>
  <c r="BU40" i="13" s="1"/>
  <c r="EM40" i="13"/>
  <c r="EX39" i="13"/>
  <c r="EX40" i="13" s="1"/>
  <c r="EW39" i="13"/>
  <c r="EW40" i="13" s="1"/>
  <c r="FG40" i="13"/>
  <c r="FR39" i="13"/>
  <c r="FR40" i="13" s="1"/>
  <c r="FQ39" i="13"/>
  <c r="FQ40" i="13" s="1"/>
  <c r="C64" i="13"/>
  <c r="N60" i="13"/>
  <c r="M60" i="13"/>
  <c r="D64" i="13"/>
  <c r="Q60" i="13"/>
  <c r="O60" i="13"/>
  <c r="J64" i="13"/>
  <c r="K60" i="13"/>
  <c r="K64" i="13" s="1"/>
  <c r="W64" i="13"/>
  <c r="AH60" i="13"/>
  <c r="AG60" i="13"/>
  <c r="X64" i="13"/>
  <c r="AK60" i="13"/>
  <c r="AI60" i="13"/>
  <c r="AB64" i="13"/>
  <c r="AC60" i="13"/>
  <c r="AC64" i="13" s="1"/>
  <c r="AQ64" i="13"/>
  <c r="BB60" i="13"/>
  <c r="BA60" i="13"/>
  <c r="AR64" i="13"/>
  <c r="BE60" i="13"/>
  <c r="BC60" i="13"/>
  <c r="BK64" i="13"/>
  <c r="BV60" i="13"/>
  <c r="BU60" i="13"/>
  <c r="BL64" i="13"/>
  <c r="BY60" i="13"/>
  <c r="BW60" i="13"/>
  <c r="CE64" i="13"/>
  <c r="CP60" i="13"/>
  <c r="CO60" i="13"/>
  <c r="CF64" i="13"/>
  <c r="CS60" i="13"/>
  <c r="CQ60" i="13"/>
  <c r="CY64" i="13"/>
  <c r="DJ60" i="13"/>
  <c r="DI60" i="13"/>
  <c r="CZ64" i="13"/>
  <c r="DM60" i="13"/>
  <c r="DK60" i="13"/>
  <c r="DS64" i="13"/>
  <c r="ED60" i="13"/>
  <c r="EC60" i="13"/>
  <c r="DT64" i="13"/>
  <c r="EG60" i="13"/>
  <c r="EE60" i="13"/>
  <c r="EM64" i="13"/>
  <c r="EX60" i="13"/>
  <c r="EW60" i="13"/>
  <c r="EN64" i="13"/>
  <c r="FA60" i="13"/>
  <c r="EY60" i="13"/>
  <c r="EP64" i="13"/>
  <c r="EQ60" i="13"/>
  <c r="EQ64" i="13" s="1"/>
  <c r="FJ64" i="13"/>
  <c r="FU60" i="13"/>
  <c r="FS60" i="13"/>
  <c r="FK60" i="13"/>
  <c r="FK64" i="13" s="1"/>
  <c r="GD64" i="13"/>
  <c r="GO60" i="13"/>
  <c r="GM60" i="13"/>
  <c r="GE64" i="13"/>
  <c r="GX64" i="13"/>
  <c r="HI60" i="13"/>
  <c r="HG60" i="13"/>
  <c r="GY60" i="13"/>
  <c r="GY64" i="13" s="1"/>
  <c r="HR64" i="13"/>
  <c r="IC60" i="13"/>
  <c r="IA60" i="13"/>
  <c r="HS60" i="13"/>
  <c r="HS64" i="13" s="1"/>
  <c r="N61" i="13"/>
  <c r="M61" i="13"/>
  <c r="Q61" i="13"/>
  <c r="O61" i="13"/>
  <c r="AH61" i="13"/>
  <c r="AG61" i="13"/>
  <c r="AK61" i="13"/>
  <c r="AI61" i="13"/>
  <c r="Z64" i="13"/>
  <c r="AA61" i="13"/>
  <c r="AA64" i="13" s="1"/>
  <c r="BB61" i="13"/>
  <c r="BA61" i="13"/>
  <c r="BE61" i="13"/>
  <c r="BC61" i="13"/>
  <c r="AT64" i="13"/>
  <c r="AU61" i="13"/>
  <c r="AU64" i="13" s="1"/>
  <c r="BV61" i="13"/>
  <c r="BU61" i="13"/>
  <c r="BY61" i="13"/>
  <c r="BW61" i="13"/>
  <c r="CP61" i="13"/>
  <c r="CO61" i="13"/>
  <c r="CS61" i="13"/>
  <c r="CQ61" i="13"/>
  <c r="CJ64" i="13"/>
  <c r="CK61" i="13"/>
  <c r="CK64" i="13" s="1"/>
  <c r="DJ61" i="13"/>
  <c r="DI61" i="13"/>
  <c r="DM61" i="13"/>
  <c r="DK61" i="13"/>
  <c r="DB64" i="13"/>
  <c r="DC61" i="13"/>
  <c r="DC64" i="13" s="1"/>
  <c r="DD64" i="13"/>
  <c r="DE61" i="13"/>
  <c r="DE64" i="13" s="1"/>
  <c r="ED61" i="13"/>
  <c r="EC61" i="13"/>
  <c r="EG61" i="13"/>
  <c r="EE61" i="13"/>
  <c r="EX61" i="13"/>
  <c r="EW61" i="13"/>
  <c r="FA61" i="13"/>
  <c r="EY61" i="13"/>
  <c r="FG64" i="13"/>
  <c r="FR61" i="13"/>
  <c r="FQ61" i="13"/>
  <c r="FH64" i="13"/>
  <c r="FU61" i="13"/>
  <c r="FS61" i="13"/>
  <c r="GA64" i="13"/>
  <c r="GL61" i="13"/>
  <c r="GK61" i="13"/>
  <c r="GB64" i="13"/>
  <c r="GO61" i="13"/>
  <c r="GM61" i="13"/>
  <c r="GU64" i="13"/>
  <c r="HF61" i="13"/>
  <c r="HE61" i="13"/>
  <c r="GV64" i="13"/>
  <c r="HI61" i="13"/>
  <c r="HG61" i="13"/>
  <c r="HO64" i="13"/>
  <c r="HZ61" i="13"/>
  <c r="HY61" i="13"/>
  <c r="HP64" i="13"/>
  <c r="IC61" i="13"/>
  <c r="IA61" i="13"/>
  <c r="HV64" i="13"/>
  <c r="HW61" i="13"/>
  <c r="HW64" i="13" s="1"/>
  <c r="N62" i="13"/>
  <c r="M62" i="13"/>
  <c r="Q62" i="13"/>
  <c r="O62" i="13"/>
  <c r="F64" i="13"/>
  <c r="G62" i="13"/>
  <c r="G64" i="13" s="1"/>
  <c r="AH62" i="13"/>
  <c r="AG62" i="13"/>
  <c r="AK62" i="13"/>
  <c r="AI62" i="13"/>
  <c r="AD64" i="13"/>
  <c r="AE62" i="13"/>
  <c r="AE64" i="13" s="1"/>
  <c r="BB62" i="13"/>
  <c r="BA62" i="13"/>
  <c r="BE62" i="13"/>
  <c r="BC62" i="13"/>
  <c r="AX64" i="13"/>
  <c r="AY62" i="13"/>
  <c r="AY64" i="13" s="1"/>
  <c r="BV62" i="13"/>
  <c r="BU62" i="13"/>
  <c r="BY62" i="13"/>
  <c r="BW62" i="13"/>
  <c r="CP62" i="13"/>
  <c r="CO62" i="13"/>
  <c r="CS62" i="13"/>
  <c r="CQ62" i="13"/>
  <c r="CH64" i="13"/>
  <c r="CI62" i="13"/>
  <c r="CI64" i="13" s="1"/>
  <c r="DJ62" i="13"/>
  <c r="DI62" i="13"/>
  <c r="DM62" i="13"/>
  <c r="DK62" i="13"/>
  <c r="ED62" i="13"/>
  <c r="EC62" i="13"/>
  <c r="EG62" i="13"/>
  <c r="EE62" i="13"/>
  <c r="DV64" i="13"/>
  <c r="DW62" i="13"/>
  <c r="DW64" i="13" s="1"/>
  <c r="EX62" i="13"/>
  <c r="EW62" i="13"/>
  <c r="FA62" i="13"/>
  <c r="EY62" i="13"/>
  <c r="FR62" i="13"/>
  <c r="FQ62" i="13"/>
  <c r="FU62" i="13"/>
  <c r="FS62" i="13"/>
  <c r="GL62" i="13"/>
  <c r="GK62" i="13"/>
  <c r="GO62" i="13"/>
  <c r="GM62" i="13"/>
  <c r="HF62" i="13"/>
  <c r="HE62" i="13"/>
  <c r="HI62" i="13"/>
  <c r="HG62" i="13"/>
  <c r="HZ62" i="13"/>
  <c r="HY62" i="13"/>
  <c r="IC62" i="13"/>
  <c r="IA62" i="13"/>
  <c r="N63" i="13"/>
  <c r="M63" i="13"/>
  <c r="Q63" i="13"/>
  <c r="O63" i="13"/>
  <c r="AH63" i="13"/>
  <c r="AG63" i="13"/>
  <c r="AK63" i="13"/>
  <c r="AI63" i="13"/>
  <c r="BB63" i="13"/>
  <c r="BA63" i="13"/>
  <c r="BE63" i="13"/>
  <c r="BC63" i="13"/>
  <c r="BV63" i="13"/>
  <c r="BU63" i="13"/>
  <c r="BY63" i="13"/>
  <c r="BW63" i="13"/>
  <c r="CP63" i="13"/>
  <c r="CO63" i="13"/>
  <c r="CS63" i="13"/>
  <c r="CQ63" i="13"/>
  <c r="DJ63" i="13"/>
  <c r="DI63" i="13"/>
  <c r="DM63" i="13"/>
  <c r="DK63" i="13"/>
  <c r="ED63" i="13"/>
  <c r="EC63" i="13"/>
  <c r="EG63" i="13"/>
  <c r="EE63" i="13"/>
  <c r="EX63" i="13"/>
  <c r="EW63" i="13"/>
  <c r="FA63" i="13"/>
  <c r="EY63" i="13"/>
  <c r="FR63" i="13"/>
  <c r="FQ63" i="13"/>
  <c r="FU63" i="13"/>
  <c r="FS63" i="13"/>
  <c r="GL63" i="13"/>
  <c r="GK63" i="13"/>
  <c r="GO63" i="13"/>
  <c r="GM63" i="13"/>
  <c r="HF63" i="13"/>
  <c r="HE63" i="13"/>
  <c r="HI63" i="13"/>
  <c r="HG63" i="13"/>
  <c r="HZ63" i="13"/>
  <c r="HY63" i="13"/>
  <c r="IC63" i="13"/>
  <c r="IA63" i="13"/>
  <c r="C79" i="13"/>
  <c r="N65" i="13"/>
  <c r="M65" i="13"/>
  <c r="W79" i="13"/>
  <c r="AH65" i="13"/>
  <c r="AG65" i="13"/>
  <c r="AQ79" i="13"/>
  <c r="BB65" i="13"/>
  <c r="BA65" i="13"/>
  <c r="AS79" i="13"/>
  <c r="BE65" i="13"/>
  <c r="BE79" i="13" s="1"/>
  <c r="BK79" i="13"/>
  <c r="BV65" i="13"/>
  <c r="BU65" i="13"/>
  <c r="BM79" i="13"/>
  <c r="BY65" i="13"/>
  <c r="BY79" i="13" s="1"/>
  <c r="CE79" i="13"/>
  <c r="CP65" i="13"/>
  <c r="CO65" i="13"/>
  <c r="CY79" i="13"/>
  <c r="DJ65" i="13"/>
  <c r="DI65" i="13"/>
  <c r="DS79" i="13"/>
  <c r="ED65" i="13"/>
  <c r="EC65" i="13"/>
  <c r="EM79" i="13"/>
  <c r="EX65" i="13"/>
  <c r="EW65" i="13"/>
  <c r="FG79" i="13"/>
  <c r="FR65" i="13"/>
  <c r="FQ65" i="13"/>
  <c r="GA79" i="13"/>
  <c r="GL65" i="13"/>
  <c r="GK65" i="13"/>
  <c r="GU79" i="13"/>
  <c r="HF65" i="13"/>
  <c r="HE65" i="13"/>
  <c r="HO79" i="13"/>
  <c r="HZ65" i="13"/>
  <c r="HY65" i="13"/>
  <c r="N66" i="13"/>
  <c r="M66" i="13"/>
  <c r="AH66" i="13"/>
  <c r="AG66" i="13"/>
  <c r="BB66" i="13"/>
  <c r="BA66" i="13"/>
  <c r="BV66" i="13"/>
  <c r="BU66" i="13"/>
  <c r="CP66" i="13"/>
  <c r="CO66" i="13"/>
  <c r="DJ66" i="13"/>
  <c r="DI66" i="13"/>
  <c r="ED66" i="13"/>
  <c r="EC66" i="13"/>
  <c r="EX66" i="13"/>
  <c r="EW66" i="13"/>
  <c r="FR66" i="13"/>
  <c r="FQ66" i="13"/>
  <c r="GL66" i="13"/>
  <c r="GK66" i="13"/>
  <c r="HF66" i="13"/>
  <c r="HE66" i="13"/>
  <c r="HZ66" i="13"/>
  <c r="HY66" i="13"/>
  <c r="N67" i="13"/>
  <c r="M67" i="13"/>
  <c r="AH67" i="13"/>
  <c r="AG67" i="13"/>
  <c r="BB67" i="13"/>
  <c r="BA67" i="13"/>
  <c r="BV67" i="13"/>
  <c r="BU67" i="13"/>
  <c r="CP67" i="13"/>
  <c r="CO67" i="13"/>
  <c r="DJ67" i="13"/>
  <c r="DI67" i="13"/>
  <c r="ED67" i="13"/>
  <c r="EC67" i="13"/>
  <c r="EX67" i="13"/>
  <c r="EW67" i="13"/>
  <c r="FR67" i="13"/>
  <c r="FQ67" i="13"/>
  <c r="GL67" i="13"/>
  <c r="GK67" i="13"/>
  <c r="HF67" i="13"/>
  <c r="HE67" i="13"/>
  <c r="HZ67" i="13"/>
  <c r="HY67" i="13"/>
  <c r="N68" i="13"/>
  <c r="M68" i="13"/>
  <c r="AH68" i="13"/>
  <c r="AG68" i="13"/>
  <c r="BB68" i="13"/>
  <c r="BA68" i="13"/>
  <c r="BV68" i="13"/>
  <c r="BU68" i="13"/>
  <c r="CP68" i="13"/>
  <c r="CO68" i="13"/>
  <c r="DJ68" i="13"/>
  <c r="DI68" i="13"/>
  <c r="ED68" i="13"/>
  <c r="EC68" i="13"/>
  <c r="EX68" i="13"/>
  <c r="EW68" i="13"/>
  <c r="FR68" i="13"/>
  <c r="FQ68" i="13"/>
  <c r="GL68" i="13"/>
  <c r="GK68" i="13"/>
  <c r="HF68" i="13"/>
  <c r="HE68" i="13"/>
  <c r="HZ68" i="13"/>
  <c r="HY68" i="13"/>
  <c r="N69" i="13"/>
  <c r="M69" i="13"/>
  <c r="AH69" i="13"/>
  <c r="AG69" i="13"/>
  <c r="BB69" i="13"/>
  <c r="BA69" i="13"/>
  <c r="BV69" i="13"/>
  <c r="BU69" i="13"/>
  <c r="CP69" i="13"/>
  <c r="CO69" i="13"/>
  <c r="DJ69" i="13"/>
  <c r="DI69" i="13"/>
  <c r="ED69" i="13"/>
  <c r="EC69" i="13"/>
  <c r="EX69" i="13"/>
  <c r="EW69" i="13"/>
  <c r="FR69" i="13"/>
  <c r="FQ69" i="13"/>
  <c r="GL69" i="13"/>
  <c r="GK69" i="13"/>
  <c r="HF69" i="13"/>
  <c r="HE69" i="13"/>
  <c r="HZ69" i="13"/>
  <c r="HY69" i="13"/>
  <c r="N70" i="13"/>
  <c r="M70" i="13"/>
  <c r="AH70" i="13"/>
  <c r="AG70" i="13"/>
  <c r="BB70" i="13"/>
  <c r="BA70" i="13"/>
  <c r="BV70" i="13"/>
  <c r="BU70" i="13"/>
  <c r="CP70" i="13"/>
  <c r="CO70" i="13"/>
  <c r="DJ70" i="13"/>
  <c r="DI70" i="13"/>
  <c r="ED70" i="13"/>
  <c r="EC70" i="13"/>
  <c r="EX70" i="13"/>
  <c r="EW70" i="13"/>
  <c r="FR70" i="13"/>
  <c r="FQ70" i="13"/>
  <c r="GL70" i="13"/>
  <c r="GK70" i="13"/>
  <c r="HF70" i="13"/>
  <c r="HE70" i="13"/>
  <c r="HZ70" i="13"/>
  <c r="HY70" i="13"/>
  <c r="N71" i="13"/>
  <c r="M71" i="13"/>
  <c r="AH71" i="13"/>
  <c r="AG71" i="13"/>
  <c r="BB71" i="13"/>
  <c r="BA71" i="13"/>
  <c r="BV71" i="13"/>
  <c r="BU71" i="13"/>
  <c r="CP71" i="13"/>
  <c r="CO71" i="13"/>
  <c r="DJ71" i="13"/>
  <c r="DI71" i="13"/>
  <c r="ED71" i="13"/>
  <c r="EC71" i="13"/>
  <c r="EX71" i="13"/>
  <c r="EW71" i="13"/>
  <c r="FR71" i="13"/>
  <c r="FQ71" i="13"/>
  <c r="GL71" i="13"/>
  <c r="GK71" i="13"/>
  <c r="HF71" i="13"/>
  <c r="HE71" i="13"/>
  <c r="HZ71" i="13"/>
  <c r="HY71" i="13"/>
  <c r="N72" i="13"/>
  <c r="M72" i="13"/>
  <c r="AH72" i="13"/>
  <c r="AG72" i="13"/>
  <c r="BB72" i="13"/>
  <c r="BA72" i="13"/>
  <c r="BV72" i="13"/>
  <c r="BU72" i="13"/>
  <c r="CP72" i="13"/>
  <c r="CO72" i="13"/>
  <c r="DJ72" i="13"/>
  <c r="DI72" i="13"/>
  <c r="ED72" i="13"/>
  <c r="EC72" i="13"/>
  <c r="EX72" i="13"/>
  <c r="EW72" i="13"/>
  <c r="FR72" i="13"/>
  <c r="FQ72" i="13"/>
  <c r="GL72" i="13"/>
  <c r="GK72" i="13"/>
  <c r="HF72" i="13"/>
  <c r="HE72" i="13"/>
  <c r="HZ72" i="13"/>
  <c r="HY72" i="13"/>
  <c r="N73" i="13"/>
  <c r="M73" i="13"/>
  <c r="AH73" i="13"/>
  <c r="AG73" i="13"/>
  <c r="BB73" i="13"/>
  <c r="BA73" i="13"/>
  <c r="BV73" i="13"/>
  <c r="BU73" i="13"/>
  <c r="CP73" i="13"/>
  <c r="CO73" i="13"/>
  <c r="DJ73" i="13"/>
  <c r="DI73" i="13"/>
  <c r="ED73" i="13"/>
  <c r="EC73" i="13"/>
  <c r="EX73" i="13"/>
  <c r="EW73" i="13"/>
  <c r="FR73" i="13"/>
  <c r="FQ73" i="13"/>
  <c r="GL73" i="13"/>
  <c r="GK73" i="13"/>
  <c r="HF73" i="13"/>
  <c r="HE73" i="13"/>
  <c r="HZ73" i="13"/>
  <c r="HY73" i="13"/>
  <c r="N74" i="13"/>
  <c r="M74" i="13"/>
  <c r="AH74" i="13"/>
  <c r="AG74" i="13"/>
  <c r="BB74" i="13"/>
  <c r="BA74" i="13"/>
  <c r="BV74" i="13"/>
  <c r="BU74" i="13"/>
  <c r="CP74" i="13"/>
  <c r="CO74" i="13"/>
  <c r="DJ74" i="13"/>
  <c r="DI74" i="13"/>
  <c r="ED74" i="13"/>
  <c r="EC74" i="13"/>
  <c r="EX74" i="13"/>
  <c r="EW74" i="13"/>
  <c r="FR74" i="13"/>
  <c r="FQ74" i="13"/>
  <c r="GL74" i="13"/>
  <c r="GK74" i="13"/>
  <c r="HF74" i="13"/>
  <c r="HE74" i="13"/>
  <c r="HZ74" i="13"/>
  <c r="HY74" i="13"/>
  <c r="N75" i="13"/>
  <c r="M75" i="13"/>
  <c r="AH75" i="13"/>
  <c r="AG75" i="13"/>
  <c r="BB75" i="13"/>
  <c r="BA75" i="13"/>
  <c r="BV75" i="13"/>
  <c r="BU75" i="13"/>
  <c r="CP75" i="13"/>
  <c r="CO75" i="13"/>
  <c r="DJ75" i="13"/>
  <c r="DI75" i="13"/>
  <c r="ED75" i="13"/>
  <c r="EC75" i="13"/>
  <c r="EX75" i="13"/>
  <c r="EW75" i="13"/>
  <c r="FR75" i="13"/>
  <c r="FQ75" i="13"/>
  <c r="GL75" i="13"/>
  <c r="GK75" i="13"/>
  <c r="HF75" i="13"/>
  <c r="HE75" i="13"/>
  <c r="HZ75" i="13"/>
  <c r="HY75" i="13"/>
  <c r="N76" i="13"/>
  <c r="M76" i="13"/>
  <c r="AH76" i="13"/>
  <c r="AG76" i="13"/>
  <c r="BB76" i="13"/>
  <c r="BA76" i="13"/>
  <c r="BV76" i="13"/>
  <c r="BU76" i="13"/>
  <c r="CP76" i="13"/>
  <c r="CO76" i="13"/>
  <c r="DJ76" i="13"/>
  <c r="DI76" i="13"/>
  <c r="ED76" i="13"/>
  <c r="EC76" i="13"/>
  <c r="EX76" i="13"/>
  <c r="EW76" i="13"/>
  <c r="FR76" i="13"/>
  <c r="FQ76" i="13"/>
  <c r="GL76" i="13"/>
  <c r="GK76" i="13"/>
  <c r="HF76" i="13"/>
  <c r="HE76" i="13"/>
  <c r="HZ76" i="13"/>
  <c r="HY76" i="13"/>
  <c r="N77" i="13"/>
  <c r="M77" i="13"/>
  <c r="AH77" i="13"/>
  <c r="AG77" i="13"/>
  <c r="BB77" i="13"/>
  <c r="BA77" i="13"/>
  <c r="BV77" i="13"/>
  <c r="BU77" i="13"/>
  <c r="CP77" i="13"/>
  <c r="CO77" i="13"/>
  <c r="DJ77" i="13"/>
  <c r="DI77" i="13"/>
  <c r="ED77" i="13"/>
  <c r="EC77" i="13"/>
  <c r="EX77" i="13"/>
  <c r="EW77" i="13"/>
  <c r="FR77" i="13"/>
  <c r="FQ77" i="13"/>
  <c r="GL77" i="13"/>
  <c r="GK77" i="13"/>
  <c r="HF77" i="13"/>
  <c r="HE77" i="13"/>
  <c r="HZ77" i="13"/>
  <c r="HY77" i="13"/>
  <c r="N78" i="13"/>
  <c r="M78" i="13"/>
  <c r="AH78" i="13"/>
  <c r="AG78" i="13"/>
  <c r="BB78" i="13"/>
  <c r="BA78" i="13"/>
  <c r="BV78" i="13"/>
  <c r="BU78" i="13"/>
  <c r="CP78" i="13"/>
  <c r="CO78" i="13"/>
  <c r="DJ78" i="13"/>
  <c r="DI78" i="13"/>
  <c r="ED78" i="13"/>
  <c r="EC78" i="13"/>
  <c r="EX78" i="13"/>
  <c r="EW78" i="13"/>
  <c r="FR78" i="13"/>
  <c r="FQ78" i="13"/>
  <c r="GL78" i="13"/>
  <c r="GK78" i="13"/>
  <c r="HF78" i="13"/>
  <c r="HE78" i="13"/>
  <c r="HZ78" i="13"/>
  <c r="HY78" i="13"/>
  <c r="R81" i="13"/>
  <c r="AL81" i="13"/>
  <c r="BF81" i="13"/>
  <c r="BZ81" i="13"/>
  <c r="CT81" i="13"/>
  <c r="DN81" i="13"/>
  <c r="EH81" i="13"/>
  <c r="FB81" i="13"/>
  <c r="FV81" i="13"/>
  <c r="GP81" i="13"/>
  <c r="HJ81" i="13"/>
  <c r="IE82" i="13"/>
  <c r="IE80" i="13"/>
  <c r="H57" i="12"/>
  <c r="I57" i="12" s="1"/>
  <c r="F58" i="12"/>
  <c r="G58" i="12" s="1"/>
  <c r="J58" i="8"/>
  <c r="K58" i="8" s="1"/>
  <c r="J55" i="12"/>
  <c r="K55" i="12" s="1"/>
  <c r="E59" i="8"/>
  <c r="E56" i="12"/>
  <c r="E60" i="8"/>
  <c r="E57" i="12"/>
  <c r="E61" i="8"/>
  <c r="E58" i="12"/>
  <c r="C18" i="8"/>
  <c r="C17" i="8"/>
  <c r="C11" i="8"/>
  <c r="C12" i="8"/>
  <c r="C14" i="8"/>
  <c r="C15" i="8"/>
  <c r="C4" i="8"/>
  <c r="C6" i="8"/>
  <c r="C5" i="8"/>
  <c r="C9" i="8"/>
  <c r="C8" i="8"/>
  <c r="C7" i="8"/>
  <c r="M21" i="12"/>
  <c r="M22" i="12"/>
  <c r="M23" i="12"/>
  <c r="M24" i="12"/>
  <c r="M25" i="12"/>
  <c r="M26" i="12"/>
  <c r="M30" i="12"/>
  <c r="M29" i="12"/>
  <c r="M28" i="12"/>
  <c r="M27" i="12"/>
  <c r="J60" i="8"/>
  <c r="K60" i="8" s="1"/>
  <c r="J57" i="12"/>
  <c r="K57" i="12" s="1"/>
  <c r="BK65" i="1"/>
  <c r="E60" i="12"/>
  <c r="C37" i="8"/>
  <c r="C37" i="12"/>
  <c r="M37" i="12" s="1"/>
  <c r="F56" i="12"/>
  <c r="G56" i="12" s="1"/>
  <c r="C55" i="12"/>
  <c r="M55" i="12" s="1"/>
  <c r="C58" i="12"/>
  <c r="M58" i="12" s="1"/>
  <c r="D55" i="12"/>
  <c r="D56" i="12"/>
  <c r="P56" i="12" s="1"/>
  <c r="C60" i="12"/>
  <c r="M60" i="12" s="1"/>
  <c r="C66" i="12"/>
  <c r="M66" i="12" s="1"/>
  <c r="C65" i="12"/>
  <c r="M65" i="12" s="1"/>
  <c r="C64" i="12"/>
  <c r="M64" i="12" s="1"/>
  <c r="C63" i="12"/>
  <c r="M63" i="12" s="1"/>
  <c r="C62" i="12"/>
  <c r="M62" i="12" s="1"/>
  <c r="C61" i="12"/>
  <c r="M61" i="12" s="1"/>
  <c r="C73" i="12"/>
  <c r="M73" i="12" s="1"/>
  <c r="C72" i="12"/>
  <c r="M72" i="12" s="1"/>
  <c r="C71" i="12"/>
  <c r="M71" i="12" s="1"/>
  <c r="C70" i="12"/>
  <c r="M70" i="12" s="1"/>
  <c r="C69" i="12"/>
  <c r="M69" i="12" s="1"/>
  <c r="C68" i="12"/>
  <c r="M68" i="12" s="1"/>
  <c r="C67" i="12"/>
  <c r="M67" i="12" s="1"/>
  <c r="N21" i="12"/>
  <c r="N22" i="12"/>
  <c r="N23" i="12"/>
  <c r="N24" i="12"/>
  <c r="N25" i="12"/>
  <c r="N26" i="12"/>
  <c r="N27" i="12"/>
  <c r="N28" i="12"/>
  <c r="N29" i="12"/>
  <c r="N30" i="12"/>
  <c r="N32" i="12"/>
  <c r="N33" i="12"/>
  <c r="N34" i="12"/>
  <c r="N36" i="12"/>
  <c r="N39" i="12"/>
  <c r="N40" i="12"/>
  <c r="N42" i="12"/>
  <c r="N43" i="12"/>
  <c r="N44" i="12" s="1"/>
  <c r="N45" i="12"/>
  <c r="N46" i="12"/>
  <c r="N48" i="12"/>
  <c r="N49" i="12"/>
  <c r="N50" i="12"/>
  <c r="N52" i="12"/>
  <c r="N53" i="12"/>
  <c r="N61" i="12"/>
  <c r="N62" i="12"/>
  <c r="N63" i="12"/>
  <c r="N64" i="12"/>
  <c r="N65" i="12"/>
  <c r="N66" i="12"/>
  <c r="N67" i="12"/>
  <c r="N12" i="12"/>
  <c r="N15" i="12"/>
  <c r="N5" i="12"/>
  <c r="N6" i="12"/>
  <c r="N9" i="12"/>
  <c r="H10" i="12"/>
  <c r="J10" i="12"/>
  <c r="L10" i="12"/>
  <c r="H13" i="12"/>
  <c r="J13" i="12"/>
  <c r="L13" i="12"/>
  <c r="F16" i="12"/>
  <c r="H16" i="12"/>
  <c r="J16" i="12"/>
  <c r="L16" i="12"/>
  <c r="H19" i="12"/>
  <c r="J19" i="12"/>
  <c r="L19" i="12"/>
  <c r="C31" i="12"/>
  <c r="D31" i="12"/>
  <c r="F31" i="12"/>
  <c r="H31" i="12"/>
  <c r="J31" i="12"/>
  <c r="L31" i="12"/>
  <c r="C35" i="12"/>
  <c r="D35" i="12"/>
  <c r="F35" i="12"/>
  <c r="H35" i="12"/>
  <c r="J35" i="12"/>
  <c r="L35" i="12"/>
  <c r="C38" i="12"/>
  <c r="D38" i="12"/>
  <c r="F38" i="12"/>
  <c r="H38" i="12"/>
  <c r="J38" i="12"/>
  <c r="L38" i="12"/>
  <c r="C41" i="12"/>
  <c r="D41" i="12"/>
  <c r="F41" i="12"/>
  <c r="J41" i="12"/>
  <c r="L41" i="12"/>
  <c r="C44" i="12"/>
  <c r="D44" i="12"/>
  <c r="F44" i="12"/>
  <c r="H44" i="12"/>
  <c r="J44" i="12"/>
  <c r="C47" i="12"/>
  <c r="D47" i="12"/>
  <c r="F47" i="12"/>
  <c r="H47" i="12"/>
  <c r="J47" i="12"/>
  <c r="L47" i="12"/>
  <c r="C51" i="12"/>
  <c r="D51" i="12"/>
  <c r="F51" i="12"/>
  <c r="H51" i="12"/>
  <c r="J51" i="12"/>
  <c r="L51" i="12"/>
  <c r="C54" i="12"/>
  <c r="D54" i="12"/>
  <c r="F54" i="12"/>
  <c r="H54" i="12"/>
  <c r="J54" i="12"/>
  <c r="L54" i="12"/>
  <c r="L59" i="12"/>
  <c r="D74" i="12"/>
  <c r="E74" i="12"/>
  <c r="F74" i="12"/>
  <c r="H74" i="12"/>
  <c r="J74" i="12"/>
  <c r="L74" i="12"/>
  <c r="S74" i="12"/>
  <c r="G78" i="11"/>
  <c r="W22" i="8"/>
  <c r="T82" i="1"/>
  <c r="IF82" i="1"/>
  <c r="HJ82" i="1"/>
  <c r="DD82" i="1"/>
  <c r="EV82" i="1"/>
  <c r="FR82" i="1"/>
  <c r="JB82" i="1"/>
  <c r="AO62" i="1"/>
  <c r="AO63" i="1"/>
  <c r="S60" i="1"/>
  <c r="S61" i="1"/>
  <c r="S62" i="1"/>
  <c r="S63" i="1"/>
  <c r="DY79" i="1"/>
  <c r="DJ64" i="1"/>
  <c r="DY60" i="1"/>
  <c r="DY64" i="1" s="1"/>
  <c r="FB64" i="1"/>
  <c r="FQ60" i="1"/>
  <c r="FQ64" i="1" s="1"/>
  <c r="GT64" i="1"/>
  <c r="HI61" i="1"/>
  <c r="EF64" i="1"/>
  <c r="EU60" i="1"/>
  <c r="EU62" i="1"/>
  <c r="EU63" i="1"/>
  <c r="E64" i="8"/>
  <c r="BK66" i="1"/>
  <c r="E65" i="8"/>
  <c r="BK67" i="1"/>
  <c r="E66" i="8"/>
  <c r="BK68" i="1"/>
  <c r="E67" i="8"/>
  <c r="BK69" i="1"/>
  <c r="E68" i="8"/>
  <c r="BK70" i="1"/>
  <c r="E69" i="8"/>
  <c r="BK71" i="1"/>
  <c r="E70" i="8"/>
  <c r="BK72" i="1"/>
  <c r="E71" i="8"/>
  <c r="BK73" i="1"/>
  <c r="E72" i="8"/>
  <c r="BK74" i="1"/>
  <c r="E73" i="8"/>
  <c r="BK75" i="1"/>
  <c r="E74" i="8"/>
  <c r="BK76" i="1"/>
  <c r="E75" i="8"/>
  <c r="BK77" i="1"/>
  <c r="E76" i="8"/>
  <c r="BK78" i="1"/>
  <c r="BS79" i="1"/>
  <c r="CG65" i="1"/>
  <c r="CG79" i="1" s="1"/>
  <c r="JA61" i="1"/>
  <c r="JA62" i="1"/>
  <c r="JA63" i="1"/>
  <c r="CG60" i="1"/>
  <c r="CG61" i="1"/>
  <c r="CG62" i="1"/>
  <c r="CG63" i="1"/>
  <c r="BK60" i="1"/>
  <c r="BK61" i="1"/>
  <c r="BK62" i="1"/>
  <c r="BK63" i="1"/>
  <c r="V80" i="8"/>
  <c r="V81" i="8" s="1"/>
  <c r="V22" i="8"/>
  <c r="V23" i="8"/>
  <c r="V35" i="8" s="1"/>
  <c r="DL64" i="1"/>
  <c r="F59" i="8"/>
  <c r="G59" i="8" s="1"/>
  <c r="C58" i="8"/>
  <c r="C61" i="8"/>
  <c r="CN64" i="1"/>
  <c r="D58" i="8"/>
  <c r="FD64" i="1"/>
  <c r="IW79" i="1"/>
  <c r="IQ79" i="1"/>
  <c r="IO79" i="1"/>
  <c r="F61" i="8"/>
  <c r="G61" i="8" s="1"/>
  <c r="J59" i="8"/>
  <c r="K59" i="8" s="1"/>
  <c r="J61" i="8"/>
  <c r="K61" i="8" s="1"/>
  <c r="E64" i="1"/>
  <c r="E58" i="8"/>
  <c r="E62" i="8" s="1"/>
  <c r="AW79" i="1"/>
  <c r="E63" i="8"/>
  <c r="K57" i="8"/>
  <c r="K50" i="8"/>
  <c r="K44" i="8"/>
  <c r="IQ37" i="1"/>
  <c r="IS37" i="1"/>
  <c r="IU79" i="1"/>
  <c r="IV79" i="1"/>
  <c r="IY79" i="1"/>
  <c r="IS79" i="1"/>
  <c r="IQ40" i="1"/>
  <c r="IS40" i="1"/>
  <c r="IU40" i="1"/>
  <c r="IW40" i="1"/>
  <c r="IY40" i="1"/>
  <c r="IO43" i="1"/>
  <c r="IQ43" i="1"/>
  <c r="IS43" i="1"/>
  <c r="IU43" i="1"/>
  <c r="IV43" i="1"/>
  <c r="IW43" i="1"/>
  <c r="IY43" i="1"/>
  <c r="IO46" i="1"/>
  <c r="IQ46" i="1"/>
  <c r="IS46" i="1"/>
  <c r="IU46" i="1"/>
  <c r="IV46" i="1"/>
  <c r="IW46" i="1"/>
  <c r="IY46" i="1"/>
  <c r="IU49" i="1"/>
  <c r="IV49" i="1"/>
  <c r="IW49" i="1"/>
  <c r="IY49" i="1"/>
  <c r="IO49" i="1"/>
  <c r="IQ49" i="1"/>
  <c r="IS49" i="1"/>
  <c r="IO52" i="1"/>
  <c r="IQ52" i="1"/>
  <c r="IS52" i="1"/>
  <c r="IU52" i="1"/>
  <c r="IV52" i="1"/>
  <c r="IW52" i="1"/>
  <c r="IY52" i="1"/>
  <c r="IO56" i="1"/>
  <c r="IQ56" i="1"/>
  <c r="IS56" i="1"/>
  <c r="IU56" i="1"/>
  <c r="IV56" i="1"/>
  <c r="IW56" i="1"/>
  <c r="IY56" i="1"/>
  <c r="IO59" i="1"/>
  <c r="IQ59" i="1"/>
  <c r="IS59" i="1"/>
  <c r="IU59" i="1"/>
  <c r="IV59" i="1"/>
  <c r="IW59" i="1"/>
  <c r="IY59" i="1"/>
  <c r="IW64" i="1"/>
  <c r="IO64" i="1"/>
  <c r="IQ64" i="1"/>
  <c r="IS64" i="1"/>
  <c r="IU64" i="1"/>
  <c r="IV64" i="1"/>
  <c r="IY64" i="1"/>
  <c r="K77" i="8"/>
  <c r="J19" i="8"/>
  <c r="K19" i="8"/>
  <c r="J31" i="8"/>
  <c r="K31" i="8"/>
  <c r="J35" i="8"/>
  <c r="K35" i="8"/>
  <c r="J38" i="8"/>
  <c r="K38" i="8"/>
  <c r="J41" i="8"/>
  <c r="K41" i="8"/>
  <c r="J47" i="8"/>
  <c r="K47" i="8"/>
  <c r="J54" i="8"/>
  <c r="K54" i="8"/>
  <c r="IY15" i="1"/>
  <c r="IV15" i="1"/>
  <c r="IU15" i="1"/>
  <c r="IY18" i="1"/>
  <c r="IU18" i="1"/>
  <c r="J10" i="8"/>
  <c r="K10" i="8"/>
  <c r="J13" i="8"/>
  <c r="K13" i="8"/>
  <c r="J16" i="8"/>
  <c r="K16" i="8"/>
  <c r="IW15" i="1"/>
  <c r="IO15" i="1"/>
  <c r="IQ15" i="1"/>
  <c r="IS15" i="1"/>
  <c r="IO18" i="1"/>
  <c r="IQ18" i="1"/>
  <c r="IS18" i="1"/>
  <c r="IV18" i="1"/>
  <c r="IW18" i="1"/>
  <c r="IO21" i="1"/>
  <c r="IU21" i="1"/>
  <c r="IV21" i="1"/>
  <c r="IW21" i="1"/>
  <c r="IY21" i="1"/>
  <c r="IS21" i="1"/>
  <c r="IQ21" i="1"/>
  <c r="IO33" i="1"/>
  <c r="IQ33" i="1"/>
  <c r="IQ80" i="1" s="1"/>
  <c r="IS33" i="1"/>
  <c r="IS80" i="1" s="1"/>
  <c r="IU33" i="1"/>
  <c r="IW33" i="1"/>
  <c r="IY33" i="1"/>
  <c r="IV33" i="1"/>
  <c r="IO40" i="1"/>
  <c r="IU37" i="1"/>
  <c r="IV37" i="1"/>
  <c r="IW37" i="1"/>
  <c r="IY37" i="1"/>
  <c r="IO37" i="1"/>
  <c r="DI64" i="1"/>
  <c r="CM64" i="1"/>
  <c r="FA64" i="1"/>
  <c r="EE64" i="1"/>
  <c r="IV12" i="1"/>
  <c r="IV22" i="1" s="1"/>
  <c r="IO12" i="1"/>
  <c r="IO22" i="1" s="1"/>
  <c r="J64" i="1"/>
  <c r="AF64" i="1"/>
  <c r="BB64" i="1"/>
  <c r="IQ12" i="1"/>
  <c r="IQ22" i="1" s="1"/>
  <c r="IQ81" i="1" s="1"/>
  <c r="IW12" i="1"/>
  <c r="IW22" i="1" s="1"/>
  <c r="IS12" i="1"/>
  <c r="IS22" i="1" s="1"/>
  <c r="IS81" i="1" s="1"/>
  <c r="IY12" i="1"/>
  <c r="IY22" i="1" s="1"/>
  <c r="J77" i="8"/>
  <c r="T67" i="8"/>
  <c r="T66" i="8"/>
  <c r="T65" i="8"/>
  <c r="T64" i="8"/>
  <c r="T56" i="8"/>
  <c r="M57" i="8"/>
  <c r="T53" i="8"/>
  <c r="T52" i="8"/>
  <c r="M54" i="8"/>
  <c r="T49" i="8"/>
  <c r="M50" i="8"/>
  <c r="T46" i="8"/>
  <c r="M47" i="8"/>
  <c r="T43" i="8"/>
  <c r="M44" i="8"/>
  <c r="T40" i="8"/>
  <c r="M41" i="8"/>
  <c r="T34" i="8"/>
  <c r="T33" i="8"/>
  <c r="M35" i="8"/>
  <c r="T76" i="8"/>
  <c r="T75" i="8"/>
  <c r="T74" i="8"/>
  <c r="T72" i="8"/>
  <c r="T71" i="8"/>
  <c r="T70" i="8"/>
  <c r="T69" i="8"/>
  <c r="T68" i="8"/>
  <c r="C19" i="8"/>
  <c r="G19" i="8"/>
  <c r="F19" i="8"/>
  <c r="D19" i="8"/>
  <c r="I19" i="8"/>
  <c r="H19" i="8"/>
  <c r="G31" i="8"/>
  <c r="F31" i="8"/>
  <c r="D31" i="8"/>
  <c r="C31" i="8"/>
  <c r="I31" i="8"/>
  <c r="H31" i="8"/>
  <c r="G57" i="8"/>
  <c r="F57" i="8"/>
  <c r="D57" i="8"/>
  <c r="C57" i="8"/>
  <c r="F54" i="8"/>
  <c r="D54" i="8"/>
  <c r="C54" i="8"/>
  <c r="G50" i="8"/>
  <c r="F50" i="8"/>
  <c r="D50" i="8"/>
  <c r="C50" i="8"/>
  <c r="F47" i="8"/>
  <c r="D47" i="8"/>
  <c r="C47" i="8"/>
  <c r="G44" i="8"/>
  <c r="F44" i="8"/>
  <c r="D44" i="8"/>
  <c r="C44" i="8"/>
  <c r="F41" i="8"/>
  <c r="D41" i="8"/>
  <c r="C41" i="8"/>
  <c r="G38" i="8"/>
  <c r="F38" i="8"/>
  <c r="D38" i="8"/>
  <c r="C38" i="8"/>
  <c r="I38" i="8"/>
  <c r="H38" i="8"/>
  <c r="I44" i="8"/>
  <c r="H44" i="8"/>
  <c r="I50" i="8"/>
  <c r="H50" i="8"/>
  <c r="I57" i="8"/>
  <c r="H57" i="8"/>
  <c r="R31" i="8"/>
  <c r="R38" i="8"/>
  <c r="R44" i="8"/>
  <c r="R50" i="8"/>
  <c r="R57" i="8"/>
  <c r="C13" i="8"/>
  <c r="G13" i="8"/>
  <c r="F13" i="8"/>
  <c r="I13" i="8"/>
  <c r="H13" i="8"/>
  <c r="C16" i="8"/>
  <c r="G16" i="8"/>
  <c r="F16" i="8"/>
  <c r="I16" i="8"/>
  <c r="H16" i="8"/>
  <c r="G47" i="8"/>
  <c r="G41" i="8"/>
  <c r="G35" i="8"/>
  <c r="F35" i="8"/>
  <c r="D35" i="8"/>
  <c r="C35" i="8"/>
  <c r="I35" i="8"/>
  <c r="H35" i="8"/>
  <c r="I41" i="8"/>
  <c r="I47" i="8"/>
  <c r="R10" i="8"/>
  <c r="R16" i="8"/>
  <c r="C10" i="8"/>
  <c r="F10" i="8"/>
  <c r="D10" i="8"/>
  <c r="H10" i="8"/>
  <c r="L10" i="8"/>
  <c r="F77" i="8"/>
  <c r="D77" i="8"/>
  <c r="H77" i="8"/>
  <c r="L77" i="8"/>
  <c r="R77" i="8"/>
  <c r="G54" i="8"/>
  <c r="I54" i="8"/>
  <c r="R54" i="8"/>
  <c r="T63" i="8"/>
  <c r="C77" i="8"/>
  <c r="O13" i="8"/>
  <c r="O19" i="8"/>
  <c r="O57" i="8"/>
  <c r="O54" i="8"/>
  <c r="O50" i="8"/>
  <c r="O47" i="8"/>
  <c r="O44" i="8"/>
  <c r="O41" i="8"/>
  <c r="O38" i="8"/>
  <c r="O35" i="8"/>
  <c r="F20" i="12" l="1"/>
  <c r="N18" i="12"/>
  <c r="L20" i="12"/>
  <c r="J59" i="12"/>
  <c r="J20" i="12"/>
  <c r="N72" i="12"/>
  <c r="N60" i="12"/>
  <c r="J75" i="12"/>
  <c r="J76" i="12" s="1"/>
  <c r="N4" i="12"/>
  <c r="S20" i="12"/>
  <c r="P74" i="12"/>
  <c r="C74" i="12"/>
  <c r="N73" i="12"/>
  <c r="U73" i="12" s="1"/>
  <c r="H20" i="12"/>
  <c r="N71" i="12"/>
  <c r="N58" i="12"/>
  <c r="U58" i="12" s="1"/>
  <c r="F10" i="12"/>
  <c r="N70" i="12"/>
  <c r="N55" i="12"/>
  <c r="I13" i="12"/>
  <c r="R13" i="12"/>
  <c r="R20" i="12" s="1"/>
  <c r="N69" i="12"/>
  <c r="N74" i="12" s="1"/>
  <c r="S75" i="12"/>
  <c r="S76" i="12" s="1"/>
  <c r="L75" i="12"/>
  <c r="L76" i="12" s="1"/>
  <c r="N8" i="12"/>
  <c r="N68" i="12"/>
  <c r="I16" i="12"/>
  <c r="R16" i="12"/>
  <c r="U72" i="12"/>
  <c r="U71" i="12"/>
  <c r="U70" i="12"/>
  <c r="U69" i="12"/>
  <c r="U68" i="12"/>
  <c r="U67" i="12"/>
  <c r="U66" i="12"/>
  <c r="U65" i="12"/>
  <c r="U64" i="12"/>
  <c r="U63" i="12"/>
  <c r="U62" i="12"/>
  <c r="U61" i="12"/>
  <c r="U60" i="12"/>
  <c r="U53" i="12"/>
  <c r="U52" i="12"/>
  <c r="U50" i="12"/>
  <c r="U49" i="12"/>
  <c r="U48" i="12"/>
  <c r="U46" i="12"/>
  <c r="U45" i="12"/>
  <c r="U43" i="12"/>
  <c r="U42" i="12"/>
  <c r="U40" i="12"/>
  <c r="U39" i="12"/>
  <c r="U37" i="12"/>
  <c r="U36" i="12"/>
  <c r="U34" i="12"/>
  <c r="U33" i="12"/>
  <c r="U32" i="12"/>
  <c r="U30" i="12"/>
  <c r="U29" i="12"/>
  <c r="U28" i="12"/>
  <c r="U27" i="12"/>
  <c r="U26" i="12"/>
  <c r="U25" i="12"/>
  <c r="U24" i="12"/>
  <c r="U23" i="12"/>
  <c r="U22" i="12"/>
  <c r="U21" i="12"/>
  <c r="K44" i="12"/>
  <c r="IU22" i="1"/>
  <c r="I44" i="12"/>
  <c r="I41" i="12"/>
  <c r="I38" i="12"/>
  <c r="O76" i="12"/>
  <c r="L78" i="8"/>
  <c r="L20" i="8"/>
  <c r="R78" i="8"/>
  <c r="R79" i="8" s="1"/>
  <c r="H20" i="8"/>
  <c r="D20" i="8"/>
  <c r="F20" i="8"/>
  <c r="C20" i="8"/>
  <c r="K20" i="8"/>
  <c r="J20" i="8"/>
  <c r="N61" i="8"/>
  <c r="M61" i="8"/>
  <c r="N58" i="8"/>
  <c r="M58" i="8"/>
  <c r="DC64" i="1"/>
  <c r="M37" i="8"/>
  <c r="M38" i="8" s="1"/>
  <c r="N37" i="8"/>
  <c r="T37" i="8" s="1"/>
  <c r="M27" i="8"/>
  <c r="N27" i="8"/>
  <c r="T27" i="8" s="1"/>
  <c r="M28" i="8"/>
  <c r="N28" i="8"/>
  <c r="T28" i="8" s="1"/>
  <c r="M29" i="8"/>
  <c r="N29" i="8"/>
  <c r="T29" i="8" s="1"/>
  <c r="M30" i="8"/>
  <c r="N30" i="8"/>
  <c r="T30" i="8" s="1"/>
  <c r="M26" i="8"/>
  <c r="N26" i="8"/>
  <c r="T26" i="8" s="1"/>
  <c r="M25" i="8"/>
  <c r="N25" i="8"/>
  <c r="T25" i="8" s="1"/>
  <c r="M24" i="8"/>
  <c r="N24" i="8"/>
  <c r="T24" i="8" s="1"/>
  <c r="M23" i="8"/>
  <c r="N23" i="8"/>
  <c r="T23" i="8" s="1"/>
  <c r="M22" i="8"/>
  <c r="N22" i="8"/>
  <c r="T22" i="8" s="1"/>
  <c r="N21" i="8"/>
  <c r="N31" i="8" s="1"/>
  <c r="M21" i="8"/>
  <c r="M7" i="8"/>
  <c r="N7" i="8"/>
  <c r="M8" i="8"/>
  <c r="N8" i="8"/>
  <c r="M9" i="8"/>
  <c r="N9" i="8"/>
  <c r="T9" i="8" s="1"/>
  <c r="M5" i="8"/>
  <c r="N5" i="8"/>
  <c r="T5" i="8" s="1"/>
  <c r="M6" i="8"/>
  <c r="N6" i="8"/>
  <c r="T6" i="8" s="1"/>
  <c r="N4" i="8"/>
  <c r="M4" i="8"/>
  <c r="M15" i="8"/>
  <c r="N15" i="8"/>
  <c r="T15" i="8" s="1"/>
  <c r="N14" i="8"/>
  <c r="M14" i="8"/>
  <c r="M16" i="8" s="1"/>
  <c r="M12" i="8"/>
  <c r="N12" i="8"/>
  <c r="T12" i="8" s="1"/>
  <c r="N11" i="8"/>
  <c r="M11" i="8"/>
  <c r="M13" i="8" s="1"/>
  <c r="N17" i="8"/>
  <c r="M17" i="8"/>
  <c r="M18" i="8"/>
  <c r="N18" i="8"/>
  <c r="T18" i="8" s="1"/>
  <c r="IX80" i="1"/>
  <c r="IX22" i="1"/>
  <c r="IV80" i="1"/>
  <c r="IV81" i="1"/>
  <c r="IO80" i="1"/>
  <c r="IO81" i="1" s="1"/>
  <c r="G17" i="12"/>
  <c r="G19" i="12" s="1"/>
  <c r="P17" i="12"/>
  <c r="P19" i="12" s="1"/>
  <c r="G14" i="12"/>
  <c r="G16" i="12" s="1"/>
  <c r="P14" i="12"/>
  <c r="P16" i="12" s="1"/>
  <c r="G11" i="12"/>
  <c r="G13" i="12" s="1"/>
  <c r="P11" i="12"/>
  <c r="P13" i="12" s="1"/>
  <c r="G4" i="12"/>
  <c r="P10" i="12"/>
  <c r="G44" i="12"/>
  <c r="I10" i="12"/>
  <c r="JF82" i="1"/>
  <c r="N54" i="12"/>
  <c r="N51" i="12"/>
  <c r="N47" i="12"/>
  <c r="N41" i="12"/>
  <c r="N38" i="12"/>
  <c r="N35" i="12"/>
  <c r="N31" i="12"/>
  <c r="N75" i="12" s="1"/>
  <c r="M74" i="12"/>
  <c r="M31" i="12"/>
  <c r="K59" i="12"/>
  <c r="G74" i="12"/>
  <c r="G54" i="12"/>
  <c r="G51" i="12"/>
  <c r="G47" i="12"/>
  <c r="G41" i="12"/>
  <c r="G38" i="12"/>
  <c r="G35" i="12"/>
  <c r="G31" i="12"/>
  <c r="Q74" i="12"/>
  <c r="R74" i="12"/>
  <c r="K74" i="12"/>
  <c r="I74" i="12"/>
  <c r="Q59" i="12"/>
  <c r="R59" i="12"/>
  <c r="Q54" i="12"/>
  <c r="R54" i="12"/>
  <c r="K54" i="12"/>
  <c r="I54" i="12"/>
  <c r="M54" i="12"/>
  <c r="Q51" i="12"/>
  <c r="R51" i="12"/>
  <c r="K51" i="12"/>
  <c r="I51" i="12"/>
  <c r="M51" i="12"/>
  <c r="Q47" i="12"/>
  <c r="R47" i="12"/>
  <c r="K47" i="12"/>
  <c r="I47" i="12"/>
  <c r="M47" i="12"/>
  <c r="Q41" i="12"/>
  <c r="R41" i="12"/>
  <c r="K41" i="12"/>
  <c r="M41" i="12"/>
  <c r="Q38" i="12"/>
  <c r="R38" i="12"/>
  <c r="K38" i="12"/>
  <c r="M38" i="12"/>
  <c r="Q35" i="12"/>
  <c r="R35" i="12"/>
  <c r="K35" i="12"/>
  <c r="I35" i="12"/>
  <c r="M35" i="12"/>
  <c r="Q31" i="12"/>
  <c r="R31" i="12"/>
  <c r="K31" i="12"/>
  <c r="I31" i="12"/>
  <c r="Q19" i="12"/>
  <c r="K19" i="12"/>
  <c r="Q16" i="12"/>
  <c r="K16" i="12"/>
  <c r="Q13" i="12"/>
  <c r="K13" i="12"/>
  <c r="Q10" i="12"/>
  <c r="Q20" i="12" s="1"/>
  <c r="K10" i="12"/>
  <c r="K20" i="12" s="1"/>
  <c r="C9" i="11"/>
  <c r="C7" i="12"/>
  <c r="M7" i="12" s="1"/>
  <c r="M10" i="12" s="1"/>
  <c r="G18" i="12"/>
  <c r="C17" i="12"/>
  <c r="M17" i="12" s="1"/>
  <c r="M19" i="12" s="1"/>
  <c r="C18" i="11"/>
  <c r="G15" i="12"/>
  <c r="C14" i="12"/>
  <c r="M14" i="12" s="1"/>
  <c r="M16" i="12" s="1"/>
  <c r="C15" i="11"/>
  <c r="G12" i="12"/>
  <c r="C11" i="12"/>
  <c r="M11" i="12" s="1"/>
  <c r="M13" i="12" s="1"/>
  <c r="C12" i="11"/>
  <c r="G5" i="12"/>
  <c r="G6" i="12"/>
  <c r="G8" i="12"/>
  <c r="G9" i="12"/>
  <c r="HY79" i="13"/>
  <c r="HZ79" i="13"/>
  <c r="HE79" i="13"/>
  <c r="HF79" i="13"/>
  <c r="GK79" i="13"/>
  <c r="GL79" i="13"/>
  <c r="FQ79" i="13"/>
  <c r="FR79" i="13"/>
  <c r="EW79" i="13"/>
  <c r="EX79" i="13"/>
  <c r="EC79" i="13"/>
  <c r="ED79" i="13"/>
  <c r="DI79" i="13"/>
  <c r="DJ79" i="13"/>
  <c r="CO79" i="13"/>
  <c r="CP79" i="13"/>
  <c r="BU79" i="13"/>
  <c r="BV79" i="13"/>
  <c r="BA79" i="13"/>
  <c r="BB79" i="13"/>
  <c r="AG79" i="13"/>
  <c r="AH79" i="13"/>
  <c r="M79" i="13"/>
  <c r="N79" i="13"/>
  <c r="HY64" i="13"/>
  <c r="HZ64" i="13"/>
  <c r="HE64" i="13"/>
  <c r="HF64" i="13"/>
  <c r="GK64" i="13"/>
  <c r="GL64" i="13"/>
  <c r="FQ64" i="13"/>
  <c r="FR64" i="13"/>
  <c r="IA64" i="13"/>
  <c r="IC64" i="13"/>
  <c r="HG64" i="13"/>
  <c r="HI64" i="13"/>
  <c r="GM64" i="13"/>
  <c r="GO64" i="13"/>
  <c r="FS64" i="13"/>
  <c r="FU64" i="13"/>
  <c r="EY64" i="13"/>
  <c r="FA64" i="13"/>
  <c r="EW64" i="13"/>
  <c r="EX64" i="13"/>
  <c r="EE64" i="13"/>
  <c r="EG64" i="13"/>
  <c r="EC64" i="13"/>
  <c r="ED64" i="13"/>
  <c r="DK64" i="13"/>
  <c r="DM64" i="13"/>
  <c r="DI64" i="13"/>
  <c r="DJ64" i="13"/>
  <c r="CQ64" i="13"/>
  <c r="CS64" i="13"/>
  <c r="CO64" i="13"/>
  <c r="CP64" i="13"/>
  <c r="BW64" i="13"/>
  <c r="BY64" i="13"/>
  <c r="BU64" i="13"/>
  <c r="BV64" i="13"/>
  <c r="BC64" i="13"/>
  <c r="BE64" i="13"/>
  <c r="BA64" i="13"/>
  <c r="BB64" i="13"/>
  <c r="AI64" i="13"/>
  <c r="AK64" i="13"/>
  <c r="AG64" i="13"/>
  <c r="AH64" i="13"/>
  <c r="O64" i="13"/>
  <c r="Q64" i="13"/>
  <c r="M64" i="13"/>
  <c r="N64" i="13"/>
  <c r="AG33" i="13"/>
  <c r="AH33" i="13"/>
  <c r="AG21" i="13"/>
  <c r="AH21" i="13"/>
  <c r="AG18" i="13"/>
  <c r="AH18" i="13"/>
  <c r="AG15" i="13"/>
  <c r="AH15" i="13"/>
  <c r="AG12" i="13"/>
  <c r="AH12" i="13"/>
  <c r="T4" i="8"/>
  <c r="M10" i="8"/>
  <c r="E59" i="12"/>
  <c r="E75" i="12" s="1"/>
  <c r="E76" i="12" s="1"/>
  <c r="S64" i="1"/>
  <c r="R81" i="8"/>
  <c r="N54" i="8"/>
  <c r="T51" i="8"/>
  <c r="T73" i="8"/>
  <c r="T8" i="8"/>
  <c r="N35" i="8"/>
  <c r="T32" i="8"/>
  <c r="N41" i="8"/>
  <c r="T39" i="8"/>
  <c r="N47" i="8"/>
  <c r="T45" i="8"/>
  <c r="N16" i="8"/>
  <c r="T14" i="8"/>
  <c r="N13" i="8"/>
  <c r="T11" i="8"/>
  <c r="N38" i="8"/>
  <c r="T36" i="8"/>
  <c r="N44" i="8"/>
  <c r="T42" i="8"/>
  <c r="N50" i="8"/>
  <c r="T48" i="8"/>
  <c r="N57" i="8"/>
  <c r="T55" i="8"/>
  <c r="N19" i="8"/>
  <c r="T17" i="8"/>
  <c r="T7" i="8"/>
  <c r="BK64" i="1"/>
  <c r="CG64" i="1"/>
  <c r="JA64" i="1"/>
  <c r="BK79" i="1"/>
  <c r="EU64" i="1"/>
  <c r="Q77" i="8"/>
  <c r="Q62" i="8"/>
  <c r="Q57" i="8"/>
  <c r="Q54" i="8"/>
  <c r="Q50" i="8"/>
  <c r="Q47" i="8"/>
  <c r="Q44" i="8"/>
  <c r="Q41" i="8"/>
  <c r="Q38" i="8"/>
  <c r="Q35" i="8"/>
  <c r="Q31" i="8"/>
  <c r="Q19" i="8"/>
  <c r="Q16" i="8"/>
  <c r="Q13" i="8"/>
  <c r="Q10" i="8"/>
  <c r="E77" i="8"/>
  <c r="E78" i="8" s="1"/>
  <c r="E79" i="8" s="1"/>
  <c r="K62" i="8"/>
  <c r="J62" i="8"/>
  <c r="M77" i="8"/>
  <c r="O77" i="8"/>
  <c r="O31" i="8"/>
  <c r="O16" i="8"/>
  <c r="O10" i="8"/>
  <c r="O20" i="8" s="1"/>
  <c r="N77" i="8"/>
  <c r="P54" i="8"/>
  <c r="P62" i="8"/>
  <c r="P47" i="8"/>
  <c r="P41" i="8"/>
  <c r="P35" i="8"/>
  <c r="P19" i="8"/>
  <c r="I77" i="8"/>
  <c r="G77" i="8"/>
  <c r="N10" i="8"/>
  <c r="N20" i="8" s="1"/>
  <c r="P77" i="8"/>
  <c r="P57" i="8"/>
  <c r="P50" i="8"/>
  <c r="P44" i="8"/>
  <c r="P38" i="8"/>
  <c r="P31" i="8"/>
  <c r="P78" i="8" s="1"/>
  <c r="P10" i="8"/>
  <c r="P13" i="8"/>
  <c r="I10" i="8"/>
  <c r="I20" i="8" s="1"/>
  <c r="G10" i="8"/>
  <c r="G20" i="8" s="1"/>
  <c r="P16" i="8"/>
  <c r="AD61" i="1"/>
  <c r="AE61" i="1" s="1"/>
  <c r="AE66" i="1"/>
  <c r="AE72" i="1"/>
  <c r="AE73" i="1"/>
  <c r="AE78" i="1"/>
  <c r="AD60" i="1"/>
  <c r="AE60" i="1" s="1"/>
  <c r="FX63" i="1"/>
  <c r="FZ62" i="1"/>
  <c r="GA62" i="1" s="1"/>
  <c r="FX62" i="1"/>
  <c r="GI62" i="1" s="1"/>
  <c r="FW62" i="1"/>
  <c r="FW61" i="1"/>
  <c r="FZ60" i="1"/>
  <c r="GS61" i="1"/>
  <c r="GV60" i="1"/>
  <c r="HE60" i="1" s="1"/>
  <c r="DO47" i="1"/>
  <c r="DO48" i="1"/>
  <c r="EP41" i="1"/>
  <c r="EP42" i="1"/>
  <c r="IE61" i="1"/>
  <c r="HO61" i="1"/>
  <c r="HR60" i="1"/>
  <c r="HS60" i="1" s="1"/>
  <c r="IG79" i="1"/>
  <c r="IB79" i="1" s="1"/>
  <c r="IG64" i="1"/>
  <c r="IB64" i="1" s="1"/>
  <c r="IG59" i="1"/>
  <c r="IG56" i="1"/>
  <c r="IG52" i="1"/>
  <c r="IG49" i="1"/>
  <c r="IG46" i="1"/>
  <c r="IG43" i="1"/>
  <c r="IG40" i="1"/>
  <c r="IG37" i="1"/>
  <c r="IG33" i="1"/>
  <c r="IG21" i="1"/>
  <c r="IB21" i="1" s="1"/>
  <c r="IG18" i="1"/>
  <c r="IG15" i="1"/>
  <c r="IG12" i="1"/>
  <c r="IB12" i="1" s="1"/>
  <c r="HK79" i="1"/>
  <c r="HF79" i="1" s="1"/>
  <c r="HK64" i="1"/>
  <c r="HF64" i="1" s="1"/>
  <c r="HK59" i="1"/>
  <c r="HK56" i="1"/>
  <c r="HK52" i="1"/>
  <c r="HK49" i="1"/>
  <c r="HK46" i="1"/>
  <c r="HK43" i="1"/>
  <c r="HK40" i="1"/>
  <c r="HK37" i="1"/>
  <c r="HK33" i="1"/>
  <c r="HK21" i="1"/>
  <c r="HK18" i="1"/>
  <c r="HF18" i="1" s="1"/>
  <c r="HK15" i="1"/>
  <c r="HK12" i="1"/>
  <c r="HF12" i="1" s="1"/>
  <c r="GO79" i="1"/>
  <c r="GJ79" i="1" s="1"/>
  <c r="GO64" i="1"/>
  <c r="GJ64" i="1" s="1"/>
  <c r="GO59" i="1"/>
  <c r="GO56" i="1"/>
  <c r="GO52" i="1"/>
  <c r="GO49" i="1"/>
  <c r="GO46" i="1"/>
  <c r="GO43" i="1"/>
  <c r="GO40" i="1"/>
  <c r="GO37" i="1"/>
  <c r="GO33" i="1"/>
  <c r="GO21" i="1"/>
  <c r="GO18" i="1"/>
  <c r="GO15" i="1"/>
  <c r="GO12" i="1"/>
  <c r="FS79" i="1"/>
  <c r="FS64" i="1"/>
  <c r="FI64" i="1" s="1"/>
  <c r="FS59" i="1"/>
  <c r="FI59" i="1" s="1"/>
  <c r="FS56" i="1"/>
  <c r="FI56" i="1" s="1"/>
  <c r="FS52" i="1"/>
  <c r="FI52" i="1" s="1"/>
  <c r="FS49" i="1"/>
  <c r="FI49" i="1" s="1"/>
  <c r="FS46" i="1"/>
  <c r="FI46" i="1" s="1"/>
  <c r="FS43" i="1"/>
  <c r="FI43" i="1" s="1"/>
  <c r="FS40" i="1"/>
  <c r="FI40" i="1" s="1"/>
  <c r="FS37" i="1"/>
  <c r="FI37" i="1" s="1"/>
  <c r="FS33" i="1"/>
  <c r="FI33" i="1" s="1"/>
  <c r="FS21" i="1"/>
  <c r="FI21" i="1" s="1"/>
  <c r="FS18" i="1"/>
  <c r="FI18" i="1" s="1"/>
  <c r="FS15" i="1"/>
  <c r="FI15" i="1" s="1"/>
  <c r="FS12" i="1"/>
  <c r="EW79" i="1"/>
  <c r="EW64" i="1"/>
  <c r="EM64" i="1" s="1"/>
  <c r="EW59" i="1"/>
  <c r="EW56" i="1"/>
  <c r="EM56" i="1" s="1"/>
  <c r="EW52" i="1"/>
  <c r="EM52" i="1" s="1"/>
  <c r="EW49" i="1"/>
  <c r="EM49" i="1" s="1"/>
  <c r="EW46" i="1"/>
  <c r="EM46" i="1" s="1"/>
  <c r="EW43" i="1"/>
  <c r="EM43" i="1" s="1"/>
  <c r="EW40" i="1"/>
  <c r="EM40" i="1" s="1"/>
  <c r="EW37" i="1"/>
  <c r="EM37" i="1" s="1"/>
  <c r="EW33" i="1"/>
  <c r="EM33" i="1" s="1"/>
  <c r="EW21" i="1"/>
  <c r="EM21" i="1" s="1"/>
  <c r="EW18" i="1"/>
  <c r="EM18" i="1" s="1"/>
  <c r="EW15" i="1"/>
  <c r="EM15" i="1" s="1"/>
  <c r="EW12" i="1"/>
  <c r="EM12" i="1" s="1"/>
  <c r="EA79" i="1"/>
  <c r="DV79" i="1" s="1"/>
  <c r="EA64" i="1"/>
  <c r="EA59" i="1"/>
  <c r="EA56" i="1"/>
  <c r="EA52" i="1"/>
  <c r="EA49" i="1"/>
  <c r="EA46" i="1"/>
  <c r="EA43" i="1"/>
  <c r="EA40" i="1"/>
  <c r="EA37" i="1"/>
  <c r="EA33" i="1"/>
  <c r="EA21" i="1"/>
  <c r="EA18" i="1"/>
  <c r="EA15" i="1"/>
  <c r="EA12" i="1"/>
  <c r="EA22" i="1" s="1"/>
  <c r="DE79" i="1"/>
  <c r="DE64" i="1"/>
  <c r="CU64" i="1" s="1"/>
  <c r="DE59" i="1"/>
  <c r="CU59" i="1" s="1"/>
  <c r="DE56" i="1"/>
  <c r="CU56" i="1" s="1"/>
  <c r="DE52" i="1"/>
  <c r="CU52" i="1" s="1"/>
  <c r="DE49" i="1"/>
  <c r="CU49" i="1" s="1"/>
  <c r="DE46" i="1"/>
  <c r="CU46" i="1" s="1"/>
  <c r="DE43" i="1"/>
  <c r="DE40" i="1"/>
  <c r="CU40" i="1" s="1"/>
  <c r="DE37" i="1"/>
  <c r="CU37" i="1" s="1"/>
  <c r="DE33" i="1"/>
  <c r="DE21" i="1"/>
  <c r="CZ21" i="1" s="1"/>
  <c r="DE18" i="1"/>
  <c r="CZ18" i="1" s="1"/>
  <c r="DE15" i="1"/>
  <c r="CZ15" i="1" s="1"/>
  <c r="DE12" i="1"/>
  <c r="CZ12" i="1" s="1"/>
  <c r="CI79" i="1"/>
  <c r="CI64" i="1"/>
  <c r="CI59" i="1"/>
  <c r="CI56" i="1"/>
  <c r="CI52" i="1"/>
  <c r="CI49" i="1"/>
  <c r="CI46" i="1"/>
  <c r="CI43" i="1"/>
  <c r="CI40" i="1"/>
  <c r="CI37" i="1"/>
  <c r="CI33" i="1"/>
  <c r="CI21" i="1"/>
  <c r="CD21" i="1" s="1"/>
  <c r="CI18" i="1"/>
  <c r="CD18" i="1" s="1"/>
  <c r="CI15" i="1"/>
  <c r="CD15" i="1" s="1"/>
  <c r="CI12" i="1"/>
  <c r="CD12" i="1" s="1"/>
  <c r="BM79" i="1"/>
  <c r="BM64" i="1"/>
  <c r="BM59" i="1"/>
  <c r="BM56" i="1"/>
  <c r="BM52" i="1"/>
  <c r="BM49" i="1"/>
  <c r="BM46" i="1"/>
  <c r="BM43" i="1"/>
  <c r="BM40" i="1"/>
  <c r="BM37" i="1"/>
  <c r="BM33" i="1"/>
  <c r="BM21" i="1"/>
  <c r="BH21" i="1" s="1"/>
  <c r="BM18" i="1"/>
  <c r="BH18" i="1" s="1"/>
  <c r="BM15" i="1"/>
  <c r="BH15" i="1" s="1"/>
  <c r="BM12" i="1"/>
  <c r="BH12" i="1" s="1"/>
  <c r="AQ79" i="1"/>
  <c r="AL79" i="1" s="1"/>
  <c r="AQ64" i="1"/>
  <c r="AQ59" i="1"/>
  <c r="AQ56" i="1"/>
  <c r="AQ52" i="1"/>
  <c r="AQ49" i="1"/>
  <c r="AQ46" i="1"/>
  <c r="AQ43" i="1"/>
  <c r="AL43" i="1" s="1"/>
  <c r="AQ40" i="1"/>
  <c r="AL40" i="1" s="1"/>
  <c r="AQ37" i="1"/>
  <c r="AL37" i="1" s="1"/>
  <c r="AQ33" i="1"/>
  <c r="AQ21" i="1"/>
  <c r="AL21" i="1" s="1"/>
  <c r="AQ18" i="1"/>
  <c r="AL18" i="1" s="1"/>
  <c r="AQ15" i="1"/>
  <c r="AL15" i="1" s="1"/>
  <c r="AQ12" i="1"/>
  <c r="AL12" i="1" s="1"/>
  <c r="BA33" i="1"/>
  <c r="AY33" i="1"/>
  <c r="BF33" i="1"/>
  <c r="U79" i="1"/>
  <c r="P79" i="1" s="1"/>
  <c r="U64" i="1"/>
  <c r="P64" i="1" s="1"/>
  <c r="U59" i="1"/>
  <c r="P59" i="1" s="1"/>
  <c r="U56" i="1"/>
  <c r="P56" i="1" s="1"/>
  <c r="U52" i="1"/>
  <c r="P52" i="1" s="1"/>
  <c r="U49" i="1"/>
  <c r="P49" i="1" s="1"/>
  <c r="U46" i="1"/>
  <c r="P46" i="1" s="1"/>
  <c r="U43" i="1"/>
  <c r="P43" i="1" s="1"/>
  <c r="U40" i="1"/>
  <c r="P40" i="1" s="1"/>
  <c r="U37" i="1"/>
  <c r="P37" i="1" s="1"/>
  <c r="U33" i="1"/>
  <c r="P33" i="1" s="1"/>
  <c r="U21" i="1"/>
  <c r="P21" i="1" s="1"/>
  <c r="U18" i="1"/>
  <c r="P18" i="1" s="1"/>
  <c r="U15" i="1"/>
  <c r="P15" i="1" s="1"/>
  <c r="U12" i="1"/>
  <c r="AE33" i="1"/>
  <c r="AC33" i="1"/>
  <c r="AJ33" i="1"/>
  <c r="BA79" i="1"/>
  <c r="AY79" i="1"/>
  <c r="AK79" i="1"/>
  <c r="O79" i="1"/>
  <c r="AJ79" i="1"/>
  <c r="AE77" i="1"/>
  <c r="AE76" i="1"/>
  <c r="AE75" i="1"/>
  <c r="AE74" i="1"/>
  <c r="AE71" i="1"/>
  <c r="AE70" i="1"/>
  <c r="AE69" i="1"/>
  <c r="AE68" i="1"/>
  <c r="AE67" i="1"/>
  <c r="AE65" i="1"/>
  <c r="AE79" i="1" s="1"/>
  <c r="AC79" i="1"/>
  <c r="I79" i="1"/>
  <c r="G79" i="1"/>
  <c r="N37" i="1"/>
  <c r="N33" i="1"/>
  <c r="I64" i="1"/>
  <c r="G33" i="1"/>
  <c r="I33" i="1"/>
  <c r="CY33" i="1"/>
  <c r="CY21" i="1"/>
  <c r="CY18" i="1"/>
  <c r="CY15" i="1"/>
  <c r="CY12" i="1"/>
  <c r="DU21" i="1"/>
  <c r="DU18" i="1"/>
  <c r="EQ21" i="1"/>
  <c r="EQ18" i="1"/>
  <c r="EQ15" i="1"/>
  <c r="EQ12" i="1"/>
  <c r="FM21" i="1"/>
  <c r="FM18" i="1"/>
  <c r="FM15" i="1"/>
  <c r="FM12" i="1"/>
  <c r="GI12" i="1"/>
  <c r="HE15" i="1"/>
  <c r="HE18" i="1"/>
  <c r="HE21" i="1"/>
  <c r="HE33" i="1"/>
  <c r="GI33" i="1"/>
  <c r="EQ33" i="1"/>
  <c r="HE12" i="1"/>
  <c r="CS33" i="1"/>
  <c r="CQ33" i="1"/>
  <c r="DU12" i="1"/>
  <c r="DU15" i="1"/>
  <c r="DT33" i="1"/>
  <c r="DO33" i="1"/>
  <c r="DM33" i="1"/>
  <c r="EP33" i="1"/>
  <c r="EK33" i="1"/>
  <c r="EI33" i="1"/>
  <c r="FG33" i="1"/>
  <c r="FE33" i="1"/>
  <c r="GC33" i="1"/>
  <c r="GA33" i="1"/>
  <c r="GY33" i="1"/>
  <c r="GW33" i="1"/>
  <c r="T21" i="8" l="1"/>
  <c r="M31" i="8"/>
  <c r="I20" i="12"/>
  <c r="U4" i="12"/>
  <c r="K75" i="12"/>
  <c r="R75" i="12"/>
  <c r="Q75" i="12"/>
  <c r="Q76" i="12"/>
  <c r="DQ33" i="1"/>
  <c r="DV33" i="1"/>
  <c r="DQ37" i="1"/>
  <c r="DV37" i="1"/>
  <c r="DQ40" i="1"/>
  <c r="DV40" i="1"/>
  <c r="DQ43" i="1"/>
  <c r="DV43" i="1"/>
  <c r="DQ46" i="1"/>
  <c r="DV46" i="1"/>
  <c r="DQ49" i="1"/>
  <c r="DV49" i="1"/>
  <c r="DQ52" i="1"/>
  <c r="DV52" i="1"/>
  <c r="DQ56" i="1"/>
  <c r="DV56" i="1"/>
  <c r="DQ59" i="1"/>
  <c r="DV59" i="1"/>
  <c r="DQ64" i="1"/>
  <c r="DV64" i="1"/>
  <c r="U9" i="12"/>
  <c r="U8" i="12"/>
  <c r="U6" i="12"/>
  <c r="U5" i="12"/>
  <c r="U12" i="12"/>
  <c r="U15" i="12"/>
  <c r="U18" i="12"/>
  <c r="M12" i="1"/>
  <c r="P12" i="1"/>
  <c r="AI56" i="1"/>
  <c r="AJ56" i="1"/>
  <c r="AK56" i="1"/>
  <c r="AM56" i="1"/>
  <c r="DQ12" i="1"/>
  <c r="DV12" i="1"/>
  <c r="DQ15" i="1"/>
  <c r="DV15" i="1"/>
  <c r="DQ18" i="1"/>
  <c r="DV18" i="1"/>
  <c r="DQ21" i="1"/>
  <c r="DV21" i="1"/>
  <c r="EM59" i="1"/>
  <c r="EK59" i="1"/>
  <c r="FI12" i="1"/>
  <c r="FN12" i="1"/>
  <c r="GE12" i="1"/>
  <c r="GJ12" i="1"/>
  <c r="GE15" i="1"/>
  <c r="GJ15" i="1"/>
  <c r="GE18" i="1"/>
  <c r="GJ18" i="1"/>
  <c r="GE21" i="1"/>
  <c r="GJ21" i="1"/>
  <c r="GE33" i="1"/>
  <c r="GJ33" i="1"/>
  <c r="GE37" i="1"/>
  <c r="GJ37" i="1"/>
  <c r="GE40" i="1"/>
  <c r="GJ40" i="1"/>
  <c r="GE43" i="1"/>
  <c r="GJ43" i="1"/>
  <c r="GE46" i="1"/>
  <c r="GJ46" i="1"/>
  <c r="GE49" i="1"/>
  <c r="GJ49" i="1"/>
  <c r="GE52" i="1"/>
  <c r="GJ52" i="1"/>
  <c r="GE56" i="1"/>
  <c r="GJ56" i="1"/>
  <c r="GE59" i="1"/>
  <c r="GJ59" i="1"/>
  <c r="GA60" i="1"/>
  <c r="GI60" i="1"/>
  <c r="GG61" i="1"/>
  <c r="GH61" i="1"/>
  <c r="GG62" i="1"/>
  <c r="GH62" i="1"/>
  <c r="D58" i="12"/>
  <c r="P58" i="12" s="1"/>
  <c r="GI63" i="1"/>
  <c r="P20" i="8"/>
  <c r="P79" i="8" s="1"/>
  <c r="J78" i="8"/>
  <c r="J79" i="8" s="1"/>
  <c r="K78" i="8"/>
  <c r="Q20" i="8"/>
  <c r="Q78" i="8"/>
  <c r="K76" i="12"/>
  <c r="R76" i="12"/>
  <c r="K79" i="8"/>
  <c r="L79" i="8"/>
  <c r="M19" i="8"/>
  <c r="M20" i="8" s="1"/>
  <c r="HW15" i="1"/>
  <c r="IB15" i="1"/>
  <c r="HW18" i="1"/>
  <c r="IB18" i="1"/>
  <c r="HW33" i="1"/>
  <c r="IB33" i="1"/>
  <c r="HW37" i="1"/>
  <c r="IB37" i="1"/>
  <c r="HW40" i="1"/>
  <c r="IB40" i="1"/>
  <c r="HW43" i="1"/>
  <c r="IB43" i="1"/>
  <c r="HW46" i="1"/>
  <c r="IB46" i="1"/>
  <c r="HW49" i="1"/>
  <c r="IB49" i="1"/>
  <c r="HW52" i="1"/>
  <c r="IB52" i="1"/>
  <c r="HW56" i="1"/>
  <c r="IB56" i="1"/>
  <c r="HW59" i="1"/>
  <c r="IB59" i="1"/>
  <c r="HZ61" i="1"/>
  <c r="GW60" i="1"/>
  <c r="HD61" i="1"/>
  <c r="HC61" i="1"/>
  <c r="IX81" i="1"/>
  <c r="HA15" i="1"/>
  <c r="GW15" i="1"/>
  <c r="HF15" i="1"/>
  <c r="GW21" i="1"/>
  <c r="HD21" i="1"/>
  <c r="GY21" i="1"/>
  <c r="HA21" i="1"/>
  <c r="HF21" i="1"/>
  <c r="HA33" i="1"/>
  <c r="HD33" i="1"/>
  <c r="HF33" i="1"/>
  <c r="HA37" i="1"/>
  <c r="HF37" i="1"/>
  <c r="HD37" i="1"/>
  <c r="HA40" i="1"/>
  <c r="HF40" i="1"/>
  <c r="HA43" i="1"/>
  <c r="HF43" i="1"/>
  <c r="HA46" i="1"/>
  <c r="HF46" i="1"/>
  <c r="HA49" i="1"/>
  <c r="HF49" i="1"/>
  <c r="HA52" i="1"/>
  <c r="HF52" i="1"/>
  <c r="HA56" i="1"/>
  <c r="HF56" i="1"/>
  <c r="HA59" i="1"/>
  <c r="HF59" i="1"/>
  <c r="U81" i="1"/>
  <c r="U80" i="1"/>
  <c r="AQ81" i="1"/>
  <c r="AQ80" i="1"/>
  <c r="BM81" i="1"/>
  <c r="BM80" i="1"/>
  <c r="CI81" i="1"/>
  <c r="CI80" i="1"/>
  <c r="DE81" i="1"/>
  <c r="DE80" i="1"/>
  <c r="DQ79" i="1"/>
  <c r="EA81" i="1"/>
  <c r="EA80" i="1"/>
  <c r="EM79" i="1"/>
  <c r="EW81" i="1"/>
  <c r="EW80" i="1"/>
  <c r="FI79" i="1"/>
  <c r="FS81" i="1"/>
  <c r="FS80" i="1"/>
  <c r="GE79" i="1"/>
  <c r="GO81" i="1"/>
  <c r="GO80" i="1"/>
  <c r="HA12" i="1"/>
  <c r="HA18" i="1"/>
  <c r="HD18" i="1"/>
  <c r="HK22" i="1"/>
  <c r="HE22" i="1" s="1"/>
  <c r="HA79" i="1"/>
  <c r="HK80" i="1"/>
  <c r="HK81" i="1"/>
  <c r="HW12" i="1"/>
  <c r="HW21" i="1"/>
  <c r="IG22" i="1"/>
  <c r="HW79" i="1"/>
  <c r="IG80" i="1"/>
  <c r="IG81" i="1"/>
  <c r="M20" i="12"/>
  <c r="G10" i="12"/>
  <c r="G20" i="12"/>
  <c r="N11" i="12"/>
  <c r="C13" i="12"/>
  <c r="N14" i="12"/>
  <c r="C16" i="12"/>
  <c r="N17" i="12"/>
  <c r="C19" i="12"/>
  <c r="N7" i="12"/>
  <c r="C10" i="12"/>
  <c r="C19" i="11"/>
  <c r="C78" i="11" s="1"/>
  <c r="GM60" i="1"/>
  <c r="F55" i="12"/>
  <c r="C56" i="12"/>
  <c r="M56" i="12" s="1"/>
  <c r="C60" i="8"/>
  <c r="C57" i="12"/>
  <c r="M57" i="12" s="1"/>
  <c r="GM62" i="1"/>
  <c r="D57" i="12"/>
  <c r="F60" i="8"/>
  <c r="G60" i="8" s="1"/>
  <c r="F57" i="12"/>
  <c r="G57" i="12" s="1"/>
  <c r="AO60" i="1"/>
  <c r="H55" i="12"/>
  <c r="I55" i="12" s="1"/>
  <c r="AO61" i="1"/>
  <c r="H56" i="12"/>
  <c r="I56" i="12" s="1"/>
  <c r="HR64" i="1"/>
  <c r="IE60" i="1"/>
  <c r="IE64" i="1" s="1"/>
  <c r="GV64" i="1"/>
  <c r="HI60" i="1"/>
  <c r="HI64" i="1" s="1"/>
  <c r="D61" i="8"/>
  <c r="O61" i="8" s="1"/>
  <c r="GM63" i="1"/>
  <c r="GM64" i="1" s="1"/>
  <c r="GK64" i="1"/>
  <c r="GE64" i="1"/>
  <c r="HG64" i="1"/>
  <c r="HA64" i="1"/>
  <c r="HA80" i="1" s="1"/>
  <c r="IC64" i="1"/>
  <c r="HW64" i="1"/>
  <c r="HP64" i="1"/>
  <c r="D59" i="8"/>
  <c r="O59" i="8" s="1"/>
  <c r="FZ64" i="1"/>
  <c r="F58" i="8"/>
  <c r="O58" i="8" s="1"/>
  <c r="C59" i="8"/>
  <c r="FX64" i="1"/>
  <c r="D60" i="8"/>
  <c r="O60" i="8" s="1"/>
  <c r="AD64" i="1"/>
  <c r="H58" i="8"/>
  <c r="I58" i="8" s="1"/>
  <c r="H61" i="8"/>
  <c r="H60" i="8"/>
  <c r="I60" i="8" s="1"/>
  <c r="H59" i="8"/>
  <c r="I59" i="8" s="1"/>
  <c r="M15" i="1"/>
  <c r="K15" i="1"/>
  <c r="Q15" i="1"/>
  <c r="M18" i="1"/>
  <c r="Q18" i="1"/>
  <c r="K18" i="1"/>
  <c r="M21" i="1"/>
  <c r="Q21" i="1"/>
  <c r="K21" i="1"/>
  <c r="M33" i="1"/>
  <c r="Q33" i="1"/>
  <c r="K33" i="1"/>
  <c r="M37" i="1"/>
  <c r="Q37" i="1"/>
  <c r="I37" i="1"/>
  <c r="K37" i="1"/>
  <c r="M40" i="1"/>
  <c r="Q40" i="1"/>
  <c r="K40" i="1"/>
  <c r="M43" i="1"/>
  <c r="Q43" i="1"/>
  <c r="K43" i="1"/>
  <c r="M46" i="1"/>
  <c r="Q46" i="1"/>
  <c r="K46" i="1"/>
  <c r="M49" i="1"/>
  <c r="Q49" i="1"/>
  <c r="K49" i="1"/>
  <c r="M52" i="1"/>
  <c r="Q52" i="1"/>
  <c r="K52" i="1"/>
  <c r="M56" i="1"/>
  <c r="Q56" i="1"/>
  <c r="K56" i="1"/>
  <c r="M59" i="1"/>
  <c r="Q59" i="1"/>
  <c r="K59" i="1"/>
  <c r="M64" i="1"/>
  <c r="Q64" i="1"/>
  <c r="K64" i="1"/>
  <c r="M79" i="1"/>
  <c r="Q79" i="1"/>
  <c r="K79" i="1"/>
  <c r="AI12" i="1"/>
  <c r="AM12" i="1"/>
  <c r="AG12" i="1"/>
  <c r="AI15" i="1"/>
  <c r="AM15" i="1"/>
  <c r="AG15" i="1"/>
  <c r="AI18" i="1"/>
  <c r="AM18" i="1"/>
  <c r="AG18" i="1"/>
  <c r="AI21" i="1"/>
  <c r="AM21" i="1"/>
  <c r="AG21" i="1"/>
  <c r="AI33" i="1"/>
  <c r="AM33" i="1"/>
  <c r="AG33" i="1"/>
  <c r="AI37" i="1"/>
  <c r="AM37" i="1"/>
  <c r="AG37" i="1"/>
  <c r="AI40" i="1"/>
  <c r="AM40" i="1"/>
  <c r="AI43" i="1"/>
  <c r="AM43" i="1"/>
  <c r="AG43" i="1"/>
  <c r="AI46" i="1"/>
  <c r="AM46" i="1"/>
  <c r="AI49" i="1"/>
  <c r="AM49" i="1"/>
  <c r="AG49" i="1"/>
  <c r="AI52" i="1"/>
  <c r="AM52" i="1"/>
  <c r="AG56" i="1"/>
  <c r="AI59" i="1"/>
  <c r="AM59" i="1"/>
  <c r="AI64" i="1"/>
  <c r="AM64" i="1"/>
  <c r="AG64" i="1"/>
  <c r="AI79" i="1"/>
  <c r="AM79" i="1"/>
  <c r="AG79" i="1"/>
  <c r="BC12" i="1"/>
  <c r="BE12" i="1"/>
  <c r="BI12" i="1"/>
  <c r="BC15" i="1"/>
  <c r="BE15" i="1"/>
  <c r="BI15" i="1"/>
  <c r="BE18" i="1"/>
  <c r="BI18" i="1"/>
  <c r="BC18" i="1"/>
  <c r="BE21" i="1"/>
  <c r="BI21" i="1"/>
  <c r="BC21" i="1"/>
  <c r="BE33" i="1"/>
  <c r="BI33" i="1"/>
  <c r="BC33" i="1"/>
  <c r="BE37" i="1"/>
  <c r="BI37" i="1"/>
  <c r="BC37" i="1"/>
  <c r="BE40" i="1"/>
  <c r="BI40" i="1"/>
  <c r="BC40" i="1"/>
  <c r="BE43" i="1"/>
  <c r="BI43" i="1"/>
  <c r="BC43" i="1"/>
  <c r="BE46" i="1"/>
  <c r="BI46" i="1"/>
  <c r="BC46" i="1"/>
  <c r="BE49" i="1"/>
  <c r="BI49" i="1"/>
  <c r="BC49" i="1"/>
  <c r="BE52" i="1"/>
  <c r="BI52" i="1"/>
  <c r="BC52" i="1"/>
  <c r="BE56" i="1"/>
  <c r="BI56" i="1"/>
  <c r="BC56" i="1"/>
  <c r="BE59" i="1"/>
  <c r="BI59" i="1"/>
  <c r="BC59" i="1"/>
  <c r="BE64" i="1"/>
  <c r="BI64" i="1"/>
  <c r="BC64" i="1"/>
  <c r="BE79" i="1"/>
  <c r="BI79" i="1"/>
  <c r="BC79" i="1"/>
  <c r="BY12" i="1"/>
  <c r="CA12" i="1"/>
  <c r="CE12" i="1"/>
  <c r="BY15" i="1"/>
  <c r="CA15" i="1"/>
  <c r="CE15" i="1"/>
  <c r="BY18" i="1"/>
  <c r="CA18" i="1"/>
  <c r="CE18" i="1"/>
  <c r="CA21" i="1"/>
  <c r="CE21" i="1"/>
  <c r="BY21" i="1"/>
  <c r="CA33" i="1"/>
  <c r="CE33" i="1"/>
  <c r="BY33" i="1"/>
  <c r="CA37" i="1"/>
  <c r="CE37" i="1"/>
  <c r="BY37" i="1"/>
  <c r="CA40" i="1"/>
  <c r="CE40" i="1"/>
  <c r="BY40" i="1"/>
  <c r="CA43" i="1"/>
  <c r="CE43" i="1"/>
  <c r="BY43" i="1"/>
  <c r="CA46" i="1"/>
  <c r="CE46" i="1"/>
  <c r="BY46" i="1"/>
  <c r="CA49" i="1"/>
  <c r="CE49" i="1"/>
  <c r="BY49" i="1"/>
  <c r="CA52" i="1"/>
  <c r="CE52" i="1"/>
  <c r="BY52" i="1"/>
  <c r="CA56" i="1"/>
  <c r="CE56" i="1"/>
  <c r="BY56" i="1"/>
  <c r="CA59" i="1"/>
  <c r="CE59" i="1"/>
  <c r="BY59" i="1"/>
  <c r="CA64" i="1"/>
  <c r="CE64" i="1"/>
  <c r="BY64" i="1"/>
  <c r="CA79" i="1"/>
  <c r="CE79" i="1"/>
  <c r="BY79" i="1"/>
  <c r="CU12" i="1"/>
  <c r="CW12" i="1"/>
  <c r="DA12" i="1"/>
  <c r="CW15" i="1"/>
  <c r="DA15" i="1"/>
  <c r="CU15" i="1"/>
  <c r="CW18" i="1"/>
  <c r="DA18" i="1"/>
  <c r="CU18" i="1"/>
  <c r="CW21" i="1"/>
  <c r="DA21" i="1"/>
  <c r="CU21" i="1"/>
  <c r="CW33" i="1"/>
  <c r="DA33" i="1"/>
  <c r="CU33" i="1"/>
  <c r="CW37" i="1"/>
  <c r="DA37" i="1"/>
  <c r="CW40" i="1"/>
  <c r="DA40" i="1"/>
  <c r="CW43" i="1"/>
  <c r="DA43" i="1"/>
  <c r="CU43" i="1"/>
  <c r="CW46" i="1"/>
  <c r="DA46" i="1"/>
  <c r="CW49" i="1"/>
  <c r="DA49" i="1"/>
  <c r="CW52" i="1"/>
  <c r="DA52" i="1"/>
  <c r="CW56" i="1"/>
  <c r="DA56" i="1"/>
  <c r="CW59" i="1"/>
  <c r="DA59" i="1"/>
  <c r="DA64" i="1"/>
  <c r="CW64" i="1"/>
  <c r="CU79" i="1"/>
  <c r="CW79" i="1"/>
  <c r="DA79" i="1"/>
  <c r="DW12" i="1"/>
  <c r="DS12" i="1"/>
  <c r="DS15" i="1"/>
  <c r="DW15" i="1"/>
  <c r="DS18" i="1"/>
  <c r="DW18" i="1"/>
  <c r="DS21" i="1"/>
  <c r="DW21" i="1"/>
  <c r="DS33" i="1"/>
  <c r="DW33" i="1"/>
  <c r="DS37" i="1"/>
  <c r="DW37" i="1"/>
  <c r="DS40" i="1"/>
  <c r="DW40" i="1"/>
  <c r="DS43" i="1"/>
  <c r="DW43" i="1"/>
  <c r="DS46" i="1"/>
  <c r="DW46" i="1"/>
  <c r="DS49" i="1"/>
  <c r="DW49" i="1"/>
  <c r="DS52" i="1"/>
  <c r="DW52" i="1"/>
  <c r="DS56" i="1"/>
  <c r="DW56" i="1"/>
  <c r="DS59" i="1"/>
  <c r="DW59" i="1"/>
  <c r="DW64" i="1"/>
  <c r="DS64" i="1"/>
  <c r="DS79" i="1"/>
  <c r="DW79" i="1"/>
  <c r="ES12" i="1"/>
  <c r="EO12" i="1"/>
  <c r="EO15" i="1"/>
  <c r="ES15" i="1"/>
  <c r="EO18" i="1"/>
  <c r="ES18" i="1"/>
  <c r="EO21" i="1"/>
  <c r="ES21" i="1"/>
  <c r="EO33" i="1"/>
  <c r="ES33" i="1"/>
  <c r="EO37" i="1"/>
  <c r="ES37" i="1"/>
  <c r="EO40" i="1"/>
  <c r="ES40" i="1"/>
  <c r="EO43" i="1"/>
  <c r="ES43" i="1"/>
  <c r="EO46" i="1"/>
  <c r="ES46" i="1"/>
  <c r="EO49" i="1"/>
  <c r="ES49" i="1"/>
  <c r="EO52" i="1"/>
  <c r="ES52" i="1"/>
  <c r="EO56" i="1"/>
  <c r="ES56" i="1"/>
  <c r="EO59" i="1"/>
  <c r="ES59" i="1"/>
  <c r="ES64" i="1"/>
  <c r="EO64" i="1"/>
  <c r="EO79" i="1"/>
  <c r="ES79" i="1"/>
  <c r="FO12" i="1"/>
  <c r="FK12" i="1"/>
  <c r="FO15" i="1"/>
  <c r="FK15" i="1"/>
  <c r="FO18" i="1"/>
  <c r="FK18" i="1"/>
  <c r="FO21" i="1"/>
  <c r="FK21" i="1"/>
  <c r="FO33" i="1"/>
  <c r="FK33" i="1"/>
  <c r="FO37" i="1"/>
  <c r="FK37" i="1"/>
  <c r="FO40" i="1"/>
  <c r="FK40" i="1"/>
  <c r="FO43" i="1"/>
  <c r="FK43" i="1"/>
  <c r="FO46" i="1"/>
  <c r="FK46" i="1"/>
  <c r="FO49" i="1"/>
  <c r="FK49" i="1"/>
  <c r="FO52" i="1"/>
  <c r="FK52" i="1"/>
  <c r="FO56" i="1"/>
  <c r="FK56" i="1"/>
  <c r="FO59" i="1"/>
  <c r="FK59" i="1"/>
  <c r="FO64" i="1"/>
  <c r="FK64" i="1"/>
  <c r="FO79" i="1"/>
  <c r="FK79" i="1"/>
  <c r="GK12" i="1"/>
  <c r="GG12" i="1"/>
  <c r="GK15" i="1"/>
  <c r="GG15" i="1"/>
  <c r="GK18" i="1"/>
  <c r="GG18" i="1"/>
  <c r="GK21" i="1"/>
  <c r="GG21" i="1"/>
  <c r="GK33" i="1"/>
  <c r="GG33" i="1"/>
  <c r="GK37" i="1"/>
  <c r="GG37" i="1"/>
  <c r="GK40" i="1"/>
  <c r="GG40" i="1"/>
  <c r="GK43" i="1"/>
  <c r="GG43" i="1"/>
  <c r="GK46" i="1"/>
  <c r="GG46" i="1"/>
  <c r="GK49" i="1"/>
  <c r="GG49" i="1"/>
  <c r="GK52" i="1"/>
  <c r="GG52" i="1"/>
  <c r="GK56" i="1"/>
  <c r="GG56" i="1"/>
  <c r="GK59" i="1"/>
  <c r="GG59" i="1"/>
  <c r="GK79" i="1"/>
  <c r="GG79" i="1"/>
  <c r="HG12" i="1"/>
  <c r="HC12" i="1"/>
  <c r="HG15" i="1"/>
  <c r="HC15" i="1"/>
  <c r="HG18" i="1"/>
  <c r="HC18" i="1"/>
  <c r="HG21" i="1"/>
  <c r="HC21" i="1"/>
  <c r="HG33" i="1"/>
  <c r="HC33" i="1"/>
  <c r="HG37" i="1"/>
  <c r="HC37" i="1"/>
  <c r="HG40" i="1"/>
  <c r="HC40" i="1"/>
  <c r="HG43" i="1"/>
  <c r="HC43" i="1"/>
  <c r="HG46" i="1"/>
  <c r="HC46" i="1"/>
  <c r="HG49" i="1"/>
  <c r="HC49" i="1"/>
  <c r="HG52" i="1"/>
  <c r="HC52" i="1"/>
  <c r="HG56" i="1"/>
  <c r="HC56" i="1"/>
  <c r="HG59" i="1"/>
  <c r="HC59" i="1"/>
  <c r="HG79" i="1"/>
  <c r="HC79" i="1"/>
  <c r="HY12" i="1"/>
  <c r="IC12" i="1"/>
  <c r="IC15" i="1"/>
  <c r="HY15" i="1"/>
  <c r="IC18" i="1"/>
  <c r="HY18" i="1"/>
  <c r="IC21" i="1"/>
  <c r="HY21" i="1"/>
  <c r="IC33" i="1"/>
  <c r="HY33" i="1"/>
  <c r="IC37" i="1"/>
  <c r="HY37" i="1"/>
  <c r="IC40" i="1"/>
  <c r="HY40" i="1"/>
  <c r="IC43" i="1"/>
  <c r="HY43" i="1"/>
  <c r="IC46" i="1"/>
  <c r="HY46" i="1"/>
  <c r="IC49" i="1"/>
  <c r="HY49" i="1"/>
  <c r="IC52" i="1"/>
  <c r="HY52" i="1"/>
  <c r="IC56" i="1"/>
  <c r="HY56" i="1"/>
  <c r="IC59" i="1"/>
  <c r="HY59" i="1"/>
  <c r="IC79" i="1"/>
  <c r="HY79" i="1"/>
  <c r="HO64" i="1"/>
  <c r="HY64" i="1"/>
  <c r="BW37" i="1"/>
  <c r="GS64" i="1"/>
  <c r="HC64" i="1"/>
  <c r="FW64" i="1"/>
  <c r="Q12" i="1"/>
  <c r="K12" i="1"/>
  <c r="CX33" i="1"/>
  <c r="FM33" i="1"/>
  <c r="DU33" i="1"/>
  <c r="I59" i="1"/>
  <c r="I56" i="1"/>
  <c r="I52" i="1"/>
  <c r="I49" i="1"/>
  <c r="I46" i="1"/>
  <c r="I43" i="1"/>
  <c r="I40" i="1"/>
  <c r="N79" i="1"/>
  <c r="N64" i="1"/>
  <c r="N59" i="1"/>
  <c r="N56" i="1"/>
  <c r="N52" i="1"/>
  <c r="N49" i="1"/>
  <c r="N46" i="1"/>
  <c r="N43" i="1"/>
  <c r="N40" i="1"/>
  <c r="N80" i="1" s="1"/>
  <c r="N81" i="1" s="1"/>
  <c r="CQ37" i="1"/>
  <c r="CS37" i="1"/>
  <c r="CS40" i="1"/>
  <c r="CQ40" i="1"/>
  <c r="CQ43" i="1"/>
  <c r="CS43" i="1"/>
  <c r="CQ46" i="1"/>
  <c r="CS46" i="1"/>
  <c r="CQ49" i="1"/>
  <c r="CS49" i="1"/>
  <c r="CQ52" i="1"/>
  <c r="CS52" i="1"/>
  <c r="CX52" i="1"/>
  <c r="CY52" i="1"/>
  <c r="CS59" i="1"/>
  <c r="CQ59" i="1"/>
  <c r="CX59" i="1"/>
  <c r="CY59" i="1"/>
  <c r="CQ64" i="1"/>
  <c r="CY64" i="1"/>
  <c r="CX64" i="1"/>
  <c r="CS64" i="1"/>
  <c r="CQ79" i="1"/>
  <c r="CS79" i="1"/>
  <c r="CX79" i="1"/>
  <c r="CY79" i="1"/>
  <c r="BU33" i="1"/>
  <c r="BW33" i="1"/>
  <c r="CC12" i="1"/>
  <c r="CC15" i="1"/>
  <c r="CC18" i="1"/>
  <c r="CC21" i="1"/>
  <c r="CC33" i="1"/>
  <c r="CB33" i="1"/>
  <c r="CB15" i="1"/>
  <c r="CB18" i="1"/>
  <c r="CB21" i="1"/>
  <c r="BG12" i="1"/>
  <c r="BG18" i="1"/>
  <c r="BG33" i="1"/>
  <c r="BG21" i="1"/>
  <c r="BG15" i="1"/>
  <c r="AK15" i="1"/>
  <c r="AK18" i="1"/>
  <c r="AK21" i="1"/>
  <c r="AK33" i="1"/>
  <c r="O18" i="1"/>
  <c r="O15" i="1"/>
  <c r="O21" i="1"/>
  <c r="O37" i="1"/>
  <c r="O40" i="1"/>
  <c r="O43" i="1"/>
  <c r="O46" i="1"/>
  <c r="O52" i="1"/>
  <c r="O59" i="1"/>
  <c r="O49" i="1"/>
  <c r="O56" i="1"/>
  <c r="O64" i="1"/>
  <c r="GI15" i="1"/>
  <c r="GI18" i="1"/>
  <c r="GI21" i="1"/>
  <c r="HS12" i="1"/>
  <c r="HU12" i="1"/>
  <c r="IA12" i="1"/>
  <c r="HZ12" i="1"/>
  <c r="HS15" i="1"/>
  <c r="HU15" i="1"/>
  <c r="IA15" i="1"/>
  <c r="HZ15" i="1"/>
  <c r="HS18" i="1"/>
  <c r="HU18" i="1"/>
  <c r="IA18" i="1"/>
  <c r="HZ18" i="1"/>
  <c r="HS21" i="1"/>
  <c r="HU21" i="1"/>
  <c r="HZ21" i="1"/>
  <c r="IA21" i="1"/>
  <c r="HS33" i="1"/>
  <c r="HU33" i="1"/>
  <c r="HZ33" i="1"/>
  <c r="IA33" i="1"/>
  <c r="BG79" i="1"/>
  <c r="BF79" i="1"/>
  <c r="AY56" i="1"/>
  <c r="BA56" i="1"/>
  <c r="AJ59" i="1"/>
  <c r="AK59" i="1"/>
  <c r="BU56" i="1"/>
  <c r="BW56" i="1"/>
  <c r="CB56" i="1"/>
  <c r="CC56" i="1"/>
  <c r="CQ56" i="1"/>
  <c r="CS56" i="1"/>
  <c r="CX56" i="1"/>
  <c r="CY56" i="1"/>
  <c r="HZ37" i="1"/>
  <c r="IA37" i="1"/>
  <c r="HS37" i="1"/>
  <c r="HU37" i="1"/>
  <c r="HZ40" i="1"/>
  <c r="HZ43" i="1"/>
  <c r="HZ46" i="1"/>
  <c r="IA40" i="1"/>
  <c r="HS40" i="1"/>
  <c r="IA43" i="1"/>
  <c r="HS43" i="1"/>
  <c r="IA46" i="1"/>
  <c r="HS46" i="1"/>
  <c r="HU40" i="1"/>
  <c r="HU43" i="1"/>
  <c r="HU46" i="1"/>
  <c r="HZ49" i="1"/>
  <c r="IA49" i="1"/>
  <c r="HS49" i="1"/>
  <c r="HU49" i="1"/>
  <c r="HZ52" i="1"/>
  <c r="IA52" i="1"/>
  <c r="HS52" i="1"/>
  <c r="HU52" i="1"/>
  <c r="HZ56" i="1"/>
  <c r="IA56" i="1"/>
  <c r="HS56" i="1"/>
  <c r="HU56" i="1"/>
  <c r="HZ59" i="1"/>
  <c r="IA59" i="1"/>
  <c r="HS59" i="1"/>
  <c r="HU59" i="1"/>
  <c r="HU64" i="1"/>
  <c r="IA79" i="1"/>
  <c r="HS79" i="1"/>
  <c r="HU79" i="1"/>
  <c r="HZ79" i="1"/>
  <c r="GW79" i="1"/>
  <c r="GY79" i="1"/>
  <c r="HD79" i="1"/>
  <c r="HE79" i="1"/>
  <c r="GW59" i="1"/>
  <c r="GY59" i="1"/>
  <c r="HD59" i="1"/>
  <c r="HE59" i="1"/>
  <c r="GW56" i="1"/>
  <c r="GY56" i="1"/>
  <c r="HD56" i="1"/>
  <c r="HE56" i="1"/>
  <c r="HE37" i="1"/>
  <c r="GW37" i="1"/>
  <c r="GY37" i="1"/>
  <c r="GW52" i="1"/>
  <c r="GW49" i="1"/>
  <c r="GW46" i="1"/>
  <c r="GW43" i="1"/>
  <c r="GW40" i="1"/>
  <c r="GY52" i="1"/>
  <c r="GY49" i="1"/>
  <c r="GY46" i="1"/>
  <c r="GY43" i="1"/>
  <c r="GY40" i="1"/>
  <c r="GA79" i="1"/>
  <c r="GA59" i="1"/>
  <c r="GA56" i="1"/>
  <c r="GA52" i="1"/>
  <c r="GA49" i="1"/>
  <c r="GA46" i="1"/>
  <c r="GA43" i="1"/>
  <c r="GA40" i="1"/>
  <c r="GA37" i="1"/>
  <c r="GC79" i="1"/>
  <c r="GC64" i="1"/>
  <c r="GC59" i="1"/>
  <c r="GC56" i="1"/>
  <c r="GC52" i="1"/>
  <c r="GC49" i="1"/>
  <c r="GC46" i="1"/>
  <c r="GC43" i="1"/>
  <c r="GC40" i="1"/>
  <c r="GC37" i="1"/>
  <c r="GC80" i="1" s="1"/>
  <c r="GC81" i="1" s="1"/>
  <c r="GI79" i="1"/>
  <c r="GH79" i="1"/>
  <c r="GI59" i="1"/>
  <c r="GH59" i="1"/>
  <c r="GI56" i="1"/>
  <c r="GH56" i="1"/>
  <c r="GI52" i="1"/>
  <c r="GH52" i="1"/>
  <c r="GI49" i="1"/>
  <c r="GH49" i="1"/>
  <c r="GI46" i="1"/>
  <c r="GH46" i="1"/>
  <c r="GI43" i="1"/>
  <c r="GH43" i="1"/>
  <c r="GI40" i="1"/>
  <c r="GH40" i="1"/>
  <c r="GI37" i="1"/>
  <c r="GH37" i="1"/>
  <c r="FE79" i="1"/>
  <c r="FE64" i="1"/>
  <c r="FE59" i="1"/>
  <c r="FE56" i="1"/>
  <c r="FE52" i="1"/>
  <c r="FE49" i="1"/>
  <c r="FE46" i="1"/>
  <c r="FE43" i="1"/>
  <c r="FE40" i="1"/>
  <c r="FE37" i="1"/>
  <c r="FE80" i="1" s="1"/>
  <c r="FE81" i="1" s="1"/>
  <c r="FG79" i="1"/>
  <c r="FG64" i="1"/>
  <c r="FG59" i="1"/>
  <c r="FG56" i="1"/>
  <c r="FG52" i="1"/>
  <c r="FG49" i="1"/>
  <c r="FG46" i="1"/>
  <c r="FG43" i="1"/>
  <c r="FG40" i="1"/>
  <c r="FG37" i="1"/>
  <c r="FG80" i="1" s="1"/>
  <c r="FG81" i="1" s="1"/>
  <c r="FM79" i="1"/>
  <c r="FL79" i="1"/>
  <c r="FM64" i="1"/>
  <c r="FL64" i="1"/>
  <c r="FM59" i="1"/>
  <c r="FL59" i="1"/>
  <c r="FM56" i="1"/>
  <c r="FL56" i="1"/>
  <c r="FM52" i="1"/>
  <c r="FL52" i="1"/>
  <c r="FM49" i="1"/>
  <c r="FL49" i="1"/>
  <c r="FM46" i="1"/>
  <c r="FL46" i="1"/>
  <c r="FM43" i="1"/>
  <c r="FL43" i="1"/>
  <c r="FM40" i="1"/>
  <c r="FL40" i="1"/>
  <c r="FM37" i="1"/>
  <c r="FL37" i="1"/>
  <c r="EK79" i="1"/>
  <c r="EK64" i="1"/>
  <c r="EK56" i="1"/>
  <c r="EK52" i="1"/>
  <c r="EK49" i="1"/>
  <c r="EK46" i="1"/>
  <c r="EK43" i="1"/>
  <c r="EK40" i="1"/>
  <c r="EK37" i="1"/>
  <c r="EK80" i="1" s="1"/>
  <c r="EK81" i="1" s="1"/>
  <c r="EQ79" i="1"/>
  <c r="EP79" i="1"/>
  <c r="EQ64" i="1"/>
  <c r="EP64" i="1"/>
  <c r="EQ59" i="1"/>
  <c r="EP59" i="1"/>
  <c r="EQ56" i="1"/>
  <c r="EP56" i="1"/>
  <c r="EQ52" i="1"/>
  <c r="EP52" i="1"/>
  <c r="EQ49" i="1"/>
  <c r="EP49" i="1"/>
  <c r="EQ46" i="1"/>
  <c r="EP46" i="1"/>
  <c r="EQ43" i="1"/>
  <c r="EP43" i="1"/>
  <c r="EQ40" i="1"/>
  <c r="EP40" i="1"/>
  <c r="EQ37" i="1"/>
  <c r="EQ80" i="1" s="1"/>
  <c r="EQ81" i="1" s="1"/>
  <c r="EP37" i="1"/>
  <c r="EP80" i="1" s="1"/>
  <c r="EP81" i="1" s="1"/>
  <c r="EI79" i="1"/>
  <c r="EI64" i="1"/>
  <c r="EI59" i="1"/>
  <c r="EI56" i="1"/>
  <c r="EI52" i="1"/>
  <c r="EI49" i="1"/>
  <c r="EI46" i="1"/>
  <c r="EI43" i="1"/>
  <c r="EI40" i="1"/>
  <c r="EI37" i="1"/>
  <c r="EI80" i="1" s="1"/>
  <c r="EI81" i="1" s="1"/>
  <c r="DM79" i="1"/>
  <c r="DM64" i="1"/>
  <c r="DM59" i="1"/>
  <c r="DM56" i="1"/>
  <c r="DM52" i="1"/>
  <c r="DM49" i="1"/>
  <c r="DM46" i="1"/>
  <c r="DM43" i="1"/>
  <c r="DM40" i="1"/>
  <c r="DM37" i="1"/>
  <c r="DM80" i="1" s="1"/>
  <c r="DM81" i="1" s="1"/>
  <c r="DO79" i="1"/>
  <c r="DO64" i="1"/>
  <c r="DO59" i="1"/>
  <c r="DO56" i="1"/>
  <c r="DO52" i="1"/>
  <c r="DO49" i="1"/>
  <c r="DO46" i="1"/>
  <c r="DO43" i="1"/>
  <c r="DO40" i="1"/>
  <c r="DO37" i="1"/>
  <c r="DO80" i="1" s="1"/>
  <c r="DO81" i="1" s="1"/>
  <c r="DU79" i="1"/>
  <c r="DT79" i="1"/>
  <c r="DU64" i="1"/>
  <c r="DT64" i="1"/>
  <c r="DU59" i="1"/>
  <c r="DT59" i="1"/>
  <c r="DU56" i="1"/>
  <c r="DT56" i="1"/>
  <c r="DU52" i="1"/>
  <c r="DT52" i="1"/>
  <c r="DU49" i="1"/>
  <c r="DT49" i="1"/>
  <c r="DU46" i="1"/>
  <c r="DT46" i="1"/>
  <c r="DU43" i="1"/>
  <c r="DT43" i="1"/>
  <c r="DU40" i="1"/>
  <c r="DT40" i="1"/>
  <c r="DU37" i="1"/>
  <c r="DT37" i="1"/>
  <c r="DT80" i="1" s="1"/>
  <c r="DT81" i="1" s="1"/>
  <c r="CY49" i="1"/>
  <c r="CX49" i="1"/>
  <c r="CY46" i="1"/>
  <c r="CX46" i="1"/>
  <c r="CY43" i="1"/>
  <c r="CX43" i="1"/>
  <c r="CY40" i="1"/>
  <c r="CX40" i="1"/>
  <c r="CY37" i="1"/>
  <c r="CY80" i="1" s="1"/>
  <c r="CY81" i="1" s="1"/>
  <c r="CX37" i="1"/>
  <c r="CC79" i="1"/>
  <c r="CC64" i="1"/>
  <c r="CC59" i="1"/>
  <c r="CB79" i="1"/>
  <c r="CB64" i="1"/>
  <c r="CB59" i="1"/>
  <c r="HE40" i="1"/>
  <c r="HD40" i="1"/>
  <c r="HD43" i="1"/>
  <c r="HE43" i="1"/>
  <c r="HD46" i="1"/>
  <c r="HE46" i="1"/>
  <c r="HD52" i="1"/>
  <c r="HE52" i="1"/>
  <c r="HD49" i="1"/>
  <c r="HE49" i="1"/>
  <c r="AJ37" i="1"/>
  <c r="AK37" i="1"/>
  <c r="AJ46" i="1"/>
  <c r="AK46" i="1"/>
  <c r="AJ40" i="1"/>
  <c r="AK40" i="1"/>
  <c r="AJ43" i="1"/>
  <c r="AK43" i="1"/>
  <c r="AJ49" i="1"/>
  <c r="AK49" i="1"/>
  <c r="AJ52" i="1"/>
  <c r="AK52" i="1"/>
  <c r="BU59" i="1"/>
  <c r="BW59" i="1"/>
  <c r="BA59" i="1"/>
  <c r="AY59" i="1"/>
  <c r="AY43" i="1"/>
  <c r="AY40" i="1"/>
  <c r="AY37" i="1"/>
  <c r="AY46" i="1"/>
  <c r="AY52" i="1"/>
  <c r="AY49" i="1"/>
  <c r="BA43" i="1"/>
  <c r="BA40" i="1"/>
  <c r="BA37" i="1"/>
  <c r="BA46" i="1"/>
  <c r="BA52" i="1"/>
  <c r="BA49" i="1"/>
  <c r="BG59" i="1"/>
  <c r="BF59" i="1"/>
  <c r="BG56" i="1"/>
  <c r="BF56" i="1"/>
  <c r="BG52" i="1"/>
  <c r="BF52" i="1"/>
  <c r="BG49" i="1"/>
  <c r="BF49" i="1"/>
  <c r="BG46" i="1"/>
  <c r="BF46" i="1"/>
  <c r="BG43" i="1"/>
  <c r="BF43" i="1"/>
  <c r="BG40" i="1"/>
  <c r="BF40" i="1"/>
  <c r="BG37" i="1"/>
  <c r="BF37" i="1"/>
  <c r="BU52" i="1"/>
  <c r="BU49" i="1"/>
  <c r="BU46" i="1"/>
  <c r="BU43" i="1"/>
  <c r="BU40" i="1"/>
  <c r="BU37" i="1"/>
  <c r="BW52" i="1"/>
  <c r="BW49" i="1"/>
  <c r="BW46" i="1"/>
  <c r="BW43" i="1"/>
  <c r="BW40" i="1"/>
  <c r="CC52" i="1"/>
  <c r="CB52" i="1"/>
  <c r="CC49" i="1"/>
  <c r="CB49" i="1"/>
  <c r="CC46" i="1"/>
  <c r="CB46" i="1"/>
  <c r="CC43" i="1"/>
  <c r="CB43" i="1"/>
  <c r="CC40" i="1"/>
  <c r="CB40" i="1"/>
  <c r="CC37" i="1"/>
  <c r="CB37" i="1"/>
  <c r="GY64" i="1"/>
  <c r="AJ64" i="1"/>
  <c r="AK64" i="1"/>
  <c r="AY64" i="1"/>
  <c r="BA64" i="1"/>
  <c r="BF64" i="1"/>
  <c r="BG64" i="1"/>
  <c r="BU79" i="1"/>
  <c r="BW79" i="1"/>
  <c r="BU64" i="1"/>
  <c r="BW64" i="1"/>
  <c r="AK12" i="1"/>
  <c r="AE59" i="1"/>
  <c r="AE46" i="1"/>
  <c r="AE40" i="1"/>
  <c r="AE52" i="1"/>
  <c r="AC64" i="1"/>
  <c r="G59" i="1"/>
  <c r="G56" i="1"/>
  <c r="G52" i="1"/>
  <c r="G49" i="1"/>
  <c r="G46" i="1"/>
  <c r="G43" i="1"/>
  <c r="G40" i="1"/>
  <c r="G37" i="1"/>
  <c r="G64" i="1"/>
  <c r="AC56" i="1"/>
  <c r="AE56" i="1"/>
  <c r="AC59" i="1"/>
  <c r="AC37" i="1"/>
  <c r="AE37" i="1"/>
  <c r="AC46" i="1"/>
  <c r="AC40" i="1"/>
  <c r="AC43" i="1"/>
  <c r="AE43" i="1"/>
  <c r="AC49" i="1"/>
  <c r="AE49" i="1"/>
  <c r="AC52" i="1"/>
  <c r="GW64" i="1"/>
  <c r="HD64" i="1"/>
  <c r="HS64" i="1"/>
  <c r="HZ64" i="1"/>
  <c r="O12" i="1"/>
  <c r="O33" i="1"/>
  <c r="GH64" i="1"/>
  <c r="AE64" i="1"/>
  <c r="GA64" i="1"/>
  <c r="HE64" i="1"/>
  <c r="IA64" i="1"/>
  <c r="HD12" i="1"/>
  <c r="CX12" i="1"/>
  <c r="GW18" i="1"/>
  <c r="GA18" i="1"/>
  <c r="HD15" i="1"/>
  <c r="GY15" i="1"/>
  <c r="GY12" i="1"/>
  <c r="GW12" i="1"/>
  <c r="IC80" i="1" l="1"/>
  <c r="IA22" i="1"/>
  <c r="IC22" i="1"/>
  <c r="HY22" i="1"/>
  <c r="HW22" i="1"/>
  <c r="N10" i="12"/>
  <c r="U7" i="12"/>
  <c r="N19" i="12"/>
  <c r="U17" i="12"/>
  <c r="N16" i="12"/>
  <c r="U14" i="12"/>
  <c r="N13" i="12"/>
  <c r="U11" i="12"/>
  <c r="O80" i="1"/>
  <c r="O81" i="1" s="1"/>
  <c r="G80" i="1"/>
  <c r="G81" i="1" s="1"/>
  <c r="BF80" i="1"/>
  <c r="BF81" i="1" s="1"/>
  <c r="AJ80" i="1"/>
  <c r="AJ81" i="1" s="1"/>
  <c r="GA80" i="1"/>
  <c r="GA81" i="1" s="1"/>
  <c r="HE80" i="1"/>
  <c r="HE81" i="1" s="1"/>
  <c r="AK80" i="1"/>
  <c r="AK81" i="1" s="1"/>
  <c r="BG80" i="1"/>
  <c r="BG81" i="1" s="1"/>
  <c r="CB80" i="1"/>
  <c r="CB81" i="1" s="1"/>
  <c r="CC80" i="1"/>
  <c r="CC81" i="1" s="1"/>
  <c r="BW80" i="1"/>
  <c r="BW81" i="1" s="1"/>
  <c r="BU80" i="1"/>
  <c r="BU81" i="1" s="1"/>
  <c r="CS80" i="1"/>
  <c r="CS81" i="1" s="1"/>
  <c r="CQ80" i="1"/>
  <c r="CQ81" i="1" s="1"/>
  <c r="DU80" i="1"/>
  <c r="DU81" i="1" s="1"/>
  <c r="FM80" i="1"/>
  <c r="FM81" i="1" s="1"/>
  <c r="CX80" i="1"/>
  <c r="CX81" i="1" s="1"/>
  <c r="HC80" i="1"/>
  <c r="HG80" i="1"/>
  <c r="GK80" i="1"/>
  <c r="GK81" i="1" s="1"/>
  <c r="FK80" i="1"/>
  <c r="FK81" i="1" s="1"/>
  <c r="FO80" i="1"/>
  <c r="FO81" i="1" s="1"/>
  <c r="ES80" i="1"/>
  <c r="ES81" i="1" s="1"/>
  <c r="EO80" i="1"/>
  <c r="EO81" i="1" s="1"/>
  <c r="DW80" i="1"/>
  <c r="DW81" i="1" s="1"/>
  <c r="DS80" i="1"/>
  <c r="DS81" i="1" s="1"/>
  <c r="CU80" i="1"/>
  <c r="CU81" i="1" s="1"/>
  <c r="DA80" i="1"/>
  <c r="DA81" i="1" s="1"/>
  <c r="CW80" i="1"/>
  <c r="CW81" i="1" s="1"/>
  <c r="BY80" i="1"/>
  <c r="BY81" i="1" s="1"/>
  <c r="CE80" i="1"/>
  <c r="CE81" i="1" s="1"/>
  <c r="CA80" i="1"/>
  <c r="CA81" i="1" s="1"/>
  <c r="BC80" i="1"/>
  <c r="BC81" i="1" s="1"/>
  <c r="BI80" i="1"/>
  <c r="BI81" i="1" s="1"/>
  <c r="BE80" i="1"/>
  <c r="BE81" i="1" s="1"/>
  <c r="AG80" i="1"/>
  <c r="AG81" i="1" s="1"/>
  <c r="AM80" i="1"/>
  <c r="AM81" i="1" s="1"/>
  <c r="AI80" i="1"/>
  <c r="AI81" i="1" s="1"/>
  <c r="I80" i="1"/>
  <c r="I81" i="1" s="1"/>
  <c r="K80" i="1"/>
  <c r="K81" i="1" s="1"/>
  <c r="Q80" i="1"/>
  <c r="Q81" i="1" s="1"/>
  <c r="M80" i="1"/>
  <c r="M81" i="1" s="1"/>
  <c r="N59" i="8"/>
  <c r="M59" i="8"/>
  <c r="N60" i="8"/>
  <c r="M60" i="8"/>
  <c r="P80" i="1"/>
  <c r="P81" i="1" s="1"/>
  <c r="AL80" i="1"/>
  <c r="AL81" i="1" s="1"/>
  <c r="BH80" i="1"/>
  <c r="BH81" i="1" s="1"/>
  <c r="CD80" i="1"/>
  <c r="CD81" i="1" s="1"/>
  <c r="CZ80" i="1"/>
  <c r="CZ81" i="1" s="1"/>
  <c r="DV80" i="1"/>
  <c r="DV81" i="1" s="1"/>
  <c r="ER80" i="1"/>
  <c r="ER81" i="1" s="1"/>
  <c r="FN80" i="1"/>
  <c r="FN81" i="1" s="1"/>
  <c r="FI80" i="1"/>
  <c r="FI81" i="1" s="1"/>
  <c r="DQ80" i="1"/>
  <c r="DQ81" i="1" s="1"/>
  <c r="Q79" i="8"/>
  <c r="GJ80" i="1"/>
  <c r="GJ81" i="1" s="1"/>
  <c r="GE80" i="1"/>
  <c r="GE81" i="1" s="1"/>
  <c r="EM80" i="1"/>
  <c r="EM81" i="1" s="1"/>
  <c r="BA80" i="1"/>
  <c r="BA81" i="1" s="1"/>
  <c r="AY80" i="1"/>
  <c r="AY81" i="1" s="1"/>
  <c r="AE80" i="1"/>
  <c r="AE81" i="1" s="1"/>
  <c r="AC80" i="1"/>
  <c r="AC81" i="1" s="1"/>
  <c r="I61" i="8"/>
  <c r="T61" i="8" s="1"/>
  <c r="G58" i="8"/>
  <c r="GY80" i="1"/>
  <c r="HZ80" i="1"/>
  <c r="HU80" i="1"/>
  <c r="HC22" i="1"/>
  <c r="HG22" i="1"/>
  <c r="IB80" i="1"/>
  <c r="HW80" i="1"/>
  <c r="IB22" i="1"/>
  <c r="IB81" i="1" s="1"/>
  <c r="HW81" i="1"/>
  <c r="HU22" i="1"/>
  <c r="HU81" i="1" s="1"/>
  <c r="HD22" i="1"/>
  <c r="HF80" i="1"/>
  <c r="HD80" i="1"/>
  <c r="HF22" i="1"/>
  <c r="GW80" i="1"/>
  <c r="HS80" i="1"/>
  <c r="HA22" i="1"/>
  <c r="HA81" i="1" s="1"/>
  <c r="HS22" i="1"/>
  <c r="HS81" i="1" s="1"/>
  <c r="HZ22" i="1"/>
  <c r="HZ81" i="1" s="1"/>
  <c r="I59" i="12"/>
  <c r="I75" i="12" s="1"/>
  <c r="P57" i="12"/>
  <c r="M59" i="12"/>
  <c r="M75" i="12" s="1"/>
  <c r="M76" i="12" s="1"/>
  <c r="G55" i="12"/>
  <c r="U55" i="12" s="1"/>
  <c r="P55" i="12"/>
  <c r="P59" i="12" s="1"/>
  <c r="P75" i="12" s="1"/>
  <c r="P20" i="12"/>
  <c r="C20" i="12"/>
  <c r="H59" i="12"/>
  <c r="H75" i="12" s="1"/>
  <c r="H76" i="12" s="1"/>
  <c r="AO64" i="1"/>
  <c r="D59" i="12"/>
  <c r="D75" i="12" s="1"/>
  <c r="D76" i="12" s="1"/>
  <c r="N57" i="12"/>
  <c r="N56" i="12"/>
  <c r="C59" i="12"/>
  <c r="F59" i="12"/>
  <c r="F75" i="12" s="1"/>
  <c r="F76" i="12" s="1"/>
  <c r="GG64" i="1"/>
  <c r="GG80" i="1" s="1"/>
  <c r="GG81" i="1" s="1"/>
  <c r="GY18" i="1"/>
  <c r="FL33" i="1"/>
  <c r="GH33" i="1"/>
  <c r="GI64" i="1"/>
  <c r="GI80" i="1" s="1"/>
  <c r="GI81" i="1" s="1"/>
  <c r="H62" i="8"/>
  <c r="C62" i="8"/>
  <c r="F62" i="8"/>
  <c r="F78" i="8" s="1"/>
  <c r="F79" i="8" s="1"/>
  <c r="D62" i="8"/>
  <c r="D78" i="8" s="1"/>
  <c r="D79" i="8" s="1"/>
  <c r="T60" i="8"/>
  <c r="G62" i="8"/>
  <c r="O62" i="8"/>
  <c r="GH21" i="1"/>
  <c r="GC21" i="1"/>
  <c r="GA21" i="1"/>
  <c r="GA15" i="1"/>
  <c r="GH12" i="1"/>
  <c r="GC12" i="1"/>
  <c r="GA12" i="1"/>
  <c r="FE21" i="1"/>
  <c r="FL18" i="1"/>
  <c r="FG18" i="1"/>
  <c r="FE18" i="1"/>
  <c r="FE15" i="1"/>
  <c r="FE12" i="1"/>
  <c r="FL12" i="1"/>
  <c r="FG12" i="1"/>
  <c r="EI21" i="1"/>
  <c r="EP21" i="1"/>
  <c r="EP18" i="1"/>
  <c r="EI15" i="1"/>
  <c r="EP12" i="1"/>
  <c r="EK12" i="1"/>
  <c r="EI12" i="1"/>
  <c r="DM21" i="1"/>
  <c r="DT18" i="1"/>
  <c r="DM15" i="1"/>
  <c r="DT12" i="1"/>
  <c r="DO12" i="1"/>
  <c r="DM12" i="1"/>
  <c r="CX21" i="1"/>
  <c r="CX18" i="1"/>
  <c r="CX15" i="1"/>
  <c r="P76" i="12" l="1"/>
  <c r="N59" i="12"/>
  <c r="U56" i="12"/>
  <c r="U57" i="12"/>
  <c r="N20" i="12"/>
  <c r="N76" i="12"/>
  <c r="I76" i="12"/>
  <c r="O78" i="8"/>
  <c r="O79" i="8" s="1"/>
  <c r="G78" i="8"/>
  <c r="H78" i="8"/>
  <c r="H79" i="8" s="1"/>
  <c r="GH80" i="1"/>
  <c r="GH81" i="1" s="1"/>
  <c r="FL80" i="1"/>
  <c r="FL81" i="1" s="1"/>
  <c r="M62" i="8"/>
  <c r="M78" i="8" s="1"/>
  <c r="M79" i="8" s="1"/>
  <c r="HG81" i="1"/>
  <c r="HC81" i="1"/>
  <c r="C78" i="8"/>
  <c r="C79" i="8" s="1"/>
  <c r="HF81" i="1"/>
  <c r="HD81" i="1"/>
  <c r="GW22" i="1"/>
  <c r="GW81" i="1" s="1"/>
  <c r="GY22" i="1"/>
  <c r="GY81" i="1" s="1"/>
  <c r="G59" i="12"/>
  <c r="G75" i="12" s="1"/>
  <c r="C75" i="12"/>
  <c r="C76" i="12" s="1"/>
  <c r="N62" i="8"/>
  <c r="N78" i="8" s="1"/>
  <c r="T59" i="8"/>
  <c r="I62" i="8"/>
  <c r="T58" i="8"/>
  <c r="DO15" i="1"/>
  <c r="DT15" i="1"/>
  <c r="DM18" i="1"/>
  <c r="DO18" i="1"/>
  <c r="DO21" i="1"/>
  <c r="DT21" i="1"/>
  <c r="EK15" i="1"/>
  <c r="EP15" i="1"/>
  <c r="EK21" i="1"/>
  <c r="FG15" i="1"/>
  <c r="FL15" i="1"/>
  <c r="FG21" i="1"/>
  <c r="FL21" i="1"/>
  <c r="GC15" i="1"/>
  <c r="GH15" i="1"/>
  <c r="GH18" i="1"/>
  <c r="GC18" i="1"/>
  <c r="EK18" i="1"/>
  <c r="EI18" i="1"/>
  <c r="CS21" i="1"/>
  <c r="CS18" i="1"/>
  <c r="CS15" i="1"/>
  <c r="CS12" i="1"/>
  <c r="CQ12" i="1"/>
  <c r="BW21" i="1"/>
  <c r="BW18" i="1"/>
  <c r="BU21" i="1"/>
  <c r="BU18" i="1"/>
  <c r="BW15" i="1"/>
  <c r="BU15" i="1"/>
  <c r="CB12" i="1"/>
  <c r="BW12" i="1"/>
  <c r="BU12" i="1"/>
  <c r="AY21" i="1"/>
  <c r="BF18" i="1"/>
  <c r="AY15" i="1"/>
  <c r="BF12" i="1"/>
  <c r="BA12" i="1"/>
  <c r="AY12" i="1"/>
  <c r="AC21" i="1"/>
  <c r="AJ18" i="1"/>
  <c r="AC15" i="1"/>
  <c r="AJ12" i="1"/>
  <c r="AE12" i="1"/>
  <c r="AC12" i="1"/>
  <c r="G21" i="1"/>
  <c r="N18" i="1"/>
  <c r="G15" i="1"/>
  <c r="N12" i="1"/>
  <c r="G12" i="1"/>
  <c r="I12" i="1"/>
  <c r="N79" i="8" l="1"/>
  <c r="G79" i="8"/>
  <c r="G76" i="12"/>
  <c r="I78" i="8"/>
  <c r="I15" i="1"/>
  <c r="N15" i="1"/>
  <c r="I18" i="1"/>
  <c r="I21" i="1"/>
  <c r="N21" i="1"/>
  <c r="AJ15" i="1"/>
  <c r="AJ21" i="1"/>
  <c r="AY18" i="1"/>
  <c r="BA18" i="1"/>
  <c r="BA15" i="1"/>
  <c r="BF15" i="1"/>
  <c r="BA21" i="1"/>
  <c r="BF21" i="1"/>
  <c r="CQ15" i="1"/>
  <c r="CQ18" i="1"/>
  <c r="CQ21" i="1"/>
  <c r="AE18" i="1"/>
  <c r="G18" i="1"/>
  <c r="AE15" i="1"/>
  <c r="AC18" i="1"/>
  <c r="AE21" i="1"/>
  <c r="I79"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 C Rodriguez Velazquez</author>
  </authors>
  <commentList>
    <comment ref="IE80" authorId="0" shapeId="0" xr:uid="{D8457BF9-E26D-4026-BD57-7D85B0B5B0CA}">
      <text>
        <r>
          <rPr>
            <sz val="11"/>
            <color theme="1"/>
            <rFont val="Aptos Narrow"/>
            <family val="2"/>
            <scheme val="minor"/>
          </rPr>
          <t>Jan C Rodriguez Velazquez:
Total System Capacity.</t>
        </r>
      </text>
    </comment>
    <comment ref="IF80" authorId="0" shapeId="0" xr:uid="{6DEBB51F-BA38-43CF-AEC7-880DBC4469F6}">
      <text>
        <r>
          <rPr>
            <sz val="11"/>
            <color theme="1"/>
            <rFont val="Aptos Narrow"/>
            <family val="2"/>
            <scheme val="minor"/>
          </rPr>
          <t>Jan C Rodriguez Velazquez:
As of June 30th, 2025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Jan C Rodriguez Velazquez</author>
  </authors>
  <commentList>
    <comment ref="U81" authorId="0" shapeId="0" xr:uid="{673240A3-D37E-463B-9113-C784DD110387}">
      <text>
        <r>
          <rPr>
            <sz val="11"/>
            <color theme="1"/>
            <rFont val="Aptos Narrow"/>
            <family val="2"/>
            <scheme val="minor"/>
          </rPr>
          <t>Jan C Rodriguez Velazquez:
Total System Capacity.</t>
        </r>
      </text>
    </comment>
    <comment ref="AQ81" authorId="0" shapeId="0" xr:uid="{5BA554B9-8D45-4968-A9FB-33B653AD742E}">
      <text>
        <r>
          <rPr>
            <sz val="11"/>
            <color theme="1"/>
            <rFont val="Aptos Narrow"/>
            <family val="2"/>
            <scheme val="minor"/>
          </rPr>
          <t>Jan C Rodriguez Velazquez:
Total System Capacity.</t>
        </r>
      </text>
    </comment>
    <comment ref="BM81" authorId="0" shapeId="0" xr:uid="{2723683B-1DC0-49CE-966A-389F087EEA3D}">
      <text>
        <r>
          <rPr>
            <sz val="11"/>
            <color theme="1"/>
            <rFont val="Aptos Narrow"/>
            <family val="2"/>
            <scheme val="minor"/>
          </rPr>
          <t>Jan C Rodriguez Velazquez:
Total System Capacity.</t>
        </r>
      </text>
    </comment>
    <comment ref="CI81" authorId="0" shapeId="0" xr:uid="{18ED9646-B111-49FC-8198-C7351ED4EC49}">
      <text>
        <r>
          <rPr>
            <sz val="11"/>
            <color theme="1"/>
            <rFont val="Aptos Narrow"/>
            <family val="2"/>
            <scheme val="minor"/>
          </rPr>
          <t>Jan C Rodriguez Velazquez:
Total System Capacity.</t>
        </r>
      </text>
    </comment>
    <comment ref="DE81" authorId="0" shapeId="0" xr:uid="{4293F25B-B500-43CA-9784-98C51B168139}">
      <text>
        <r>
          <rPr>
            <sz val="11"/>
            <color theme="1"/>
            <rFont val="Aptos Narrow"/>
            <family val="2"/>
            <scheme val="minor"/>
          </rPr>
          <t>Jan C Rodriguez Velazquez:
Total System Capacity.</t>
        </r>
      </text>
    </comment>
    <comment ref="EA81" authorId="0" shapeId="0" xr:uid="{D1372583-0150-43C1-B1CB-E40D7B47A55E}">
      <text>
        <r>
          <rPr>
            <sz val="11"/>
            <color theme="1"/>
            <rFont val="Aptos Narrow"/>
            <family val="2"/>
            <scheme val="minor"/>
          </rPr>
          <t>Jan C Rodriguez Velazquez:
Total System Capacity.</t>
        </r>
      </text>
    </comment>
    <comment ref="EW81" authorId="0" shapeId="0" xr:uid="{3DA4F82B-9E23-461D-8C77-9304DBF6C7B6}">
      <text>
        <r>
          <rPr>
            <sz val="11"/>
            <color theme="1"/>
            <rFont val="Aptos Narrow"/>
            <family val="2"/>
            <scheme val="minor"/>
          </rPr>
          <t>Jan C Rodriguez Velazquez:
Total System Capacity.</t>
        </r>
      </text>
    </comment>
    <comment ref="FS81" authorId="0" shapeId="0" xr:uid="{4C7A3594-E7A8-4DF1-A736-BD70A511CFAE}">
      <text>
        <r>
          <rPr>
            <sz val="11"/>
            <color theme="1"/>
            <rFont val="Aptos Narrow"/>
            <family val="2"/>
            <scheme val="minor"/>
          </rPr>
          <t>Jan C Rodriguez Velazquez:
Total System Capacity.</t>
        </r>
      </text>
    </comment>
    <comment ref="GO81" authorId="0" shapeId="0" xr:uid="{E1B390C0-2676-440F-9B1A-057964B48309}">
      <text>
        <r>
          <rPr>
            <sz val="11"/>
            <color theme="1"/>
            <rFont val="Aptos Narrow"/>
            <family val="2"/>
            <scheme val="minor"/>
          </rPr>
          <t>Jan C Rodriguez Velazquez:
Total System Capacity.</t>
        </r>
      </text>
    </comment>
    <comment ref="HK81" authorId="0" shapeId="0" xr:uid="{18A2A9C3-6EAE-42F5-B670-BCDF6977BD74}">
      <text>
        <r>
          <rPr>
            <sz val="11"/>
            <color theme="1"/>
            <rFont val="Aptos Narrow"/>
            <family val="2"/>
            <scheme val="minor"/>
          </rPr>
          <t>Jan C Rodriguez Velazquez:
Total System Capacity.</t>
        </r>
      </text>
    </comment>
    <comment ref="IG81" authorId="0" shapeId="0" xr:uid="{7B4259E4-360E-4019-BBA9-4110C50DF7D8}">
      <text>
        <r>
          <rPr>
            <sz val="11"/>
            <color theme="1"/>
            <rFont val="Aptos Narrow"/>
            <family val="2"/>
            <scheme val="minor"/>
          </rPr>
          <t>Jan C Rodriguez Velazquez:
Total System Capacity.</t>
        </r>
      </text>
    </comment>
    <comment ref="JC81" authorId="0" shapeId="0" xr:uid="{96228E65-2E82-4157-BCC5-3A37F2AF260E}">
      <text>
        <r>
          <rPr>
            <sz val="11"/>
            <color theme="1"/>
            <rFont val="Aptos Narrow"/>
            <family val="2"/>
            <scheme val="minor"/>
          </rPr>
          <t>Jan C Rodriguez Velazquez:
Total System Capacity.</t>
        </r>
      </text>
    </comment>
  </commentList>
</comments>
</file>

<file path=xl/sharedStrings.xml><?xml version="1.0" encoding="utf-8"?>
<sst xmlns="http://schemas.openxmlformats.org/spreadsheetml/2006/main" count="2966" uniqueCount="117">
  <si>
    <t>JULY 2024</t>
  </si>
  <si>
    <t>AUGUST 2024</t>
  </si>
  <si>
    <t>SEPTEMBER 2024</t>
  </si>
  <si>
    <t>OCTOBER 2024</t>
  </si>
  <si>
    <t>NOVEMBER 2024</t>
  </si>
  <si>
    <t>DECEMBER 2024</t>
  </si>
  <si>
    <t>JANUARY 2025</t>
  </si>
  <si>
    <t>FEBRUARY 2025</t>
  </si>
  <si>
    <t>MARCH 2025</t>
  </si>
  <si>
    <t>APRIL 2025</t>
  </si>
  <si>
    <t>MAY 2025</t>
  </si>
  <si>
    <t>JUNE 2025</t>
  </si>
  <si>
    <t>MONTH HOURS:</t>
  </si>
  <si>
    <t>PLANT</t>
  </si>
  <si>
    <t>UNIT</t>
  </si>
  <si>
    <t>AH</t>
  </si>
  <si>
    <t>SH</t>
  </si>
  <si>
    <t>RSH</t>
  </si>
  <si>
    <t>FOH</t>
  </si>
  <si>
    <t>FOF</t>
  </si>
  <si>
    <t>POH</t>
  </si>
  <si>
    <t>POF</t>
  </si>
  <si>
    <t>MOH</t>
  </si>
  <si>
    <t>MOF</t>
  </si>
  <si>
    <t>EUDH</t>
  </si>
  <si>
    <t>OA</t>
  </si>
  <si>
    <t>EAF</t>
  </si>
  <si>
    <t>EFOR</t>
  </si>
  <si>
    <t>CF</t>
  </si>
  <si>
    <t>Total Hours</t>
  </si>
  <si>
    <t>Gross Generation</t>
  </si>
  <si>
    <t>Net Capacity</t>
  </si>
  <si>
    <t>APT Capacity</t>
  </si>
  <si>
    <t>SAN</t>
  </si>
  <si>
    <t>CT 5</t>
  </si>
  <si>
    <t>JUAN</t>
  </si>
  <si>
    <t>ST 5</t>
  </si>
  <si>
    <t>CT 6</t>
  </si>
  <si>
    <t>ST 6</t>
  </si>
  <si>
    <t>TOTAL</t>
  </si>
  <si>
    <t>PALO</t>
  </si>
  <si>
    <t>SECO</t>
  </si>
  <si>
    <t>COSTA</t>
  </si>
  <si>
    <t>SUR</t>
  </si>
  <si>
    <t>AGUIRRE</t>
  </si>
  <si>
    <t>AGUIRRE CC</t>
  </si>
  <si>
    <t>V-1</t>
  </si>
  <si>
    <t>1-1</t>
  </si>
  <si>
    <t>1-2</t>
  </si>
  <si>
    <t>1-3</t>
  </si>
  <si>
    <t>1-4</t>
  </si>
  <si>
    <t>V-2</t>
  </si>
  <si>
    <t>2-1</t>
  </si>
  <si>
    <t>2-2</t>
  </si>
  <si>
    <t>2-3</t>
  </si>
  <si>
    <t>2-4</t>
  </si>
  <si>
    <t>YABUCOA</t>
  </si>
  <si>
    <t>JOBOS</t>
  </si>
  <si>
    <t>DAGUAO</t>
  </si>
  <si>
    <t>PALO SECO PW</t>
  </si>
  <si>
    <t>MP 1</t>
  </si>
  <si>
    <t>FT-8</t>
  </si>
  <si>
    <t>MP 2</t>
  </si>
  <si>
    <t>MP 3</t>
  </si>
  <si>
    <t>CAMBALACHE</t>
  </si>
  <si>
    <t>2</t>
  </si>
  <si>
    <t>3</t>
  </si>
  <si>
    <t>MAYAGUEZ</t>
  </si>
  <si>
    <t>1</t>
  </si>
  <si>
    <t>SAN JUAN TM</t>
  </si>
  <si>
    <t>TM 1</t>
  </si>
  <si>
    <t>TM 2</t>
  </si>
  <si>
    <t>TM 3</t>
  </si>
  <si>
    <t>TM 4</t>
  </si>
  <si>
    <t>TM 5</t>
  </si>
  <si>
    <t>TM 6</t>
  </si>
  <si>
    <t>TM 7</t>
  </si>
  <si>
    <t>TM 8</t>
  </si>
  <si>
    <t>TM 9</t>
  </si>
  <si>
    <t>TM 10</t>
  </si>
  <si>
    <t>PALO SECO TM</t>
  </si>
  <si>
    <t>Total Generation</t>
  </si>
  <si>
    <t>EOF</t>
  </si>
  <si>
    <t>FOO</t>
  </si>
  <si>
    <t>Total</t>
  </si>
  <si>
    <t>Total Baseloads</t>
  </si>
  <si>
    <t>Total Peakers</t>
  </si>
  <si>
    <t>Total System</t>
  </si>
  <si>
    <t>Total Gen FY 24-25 =</t>
  </si>
  <si>
    <t>FISCAL YEAR 2024-25 HOURS:</t>
  </si>
  <si>
    <t>APT</t>
  </si>
  <si>
    <t>KPI Acum</t>
  </si>
  <si>
    <t>TOTAL TM</t>
  </si>
  <si>
    <t xml:space="preserve"> Total System</t>
  </si>
  <si>
    <t>Baseloads Net Capacity</t>
  </si>
  <si>
    <t>Peakers Net Capacity</t>
  </si>
  <si>
    <t>TM Net Capacity</t>
  </si>
  <si>
    <t>Peakers &amp; TM Net Capacity</t>
  </si>
  <si>
    <t>Total Capacity</t>
  </si>
  <si>
    <t>Total w/o TMs</t>
  </si>
  <si>
    <t>PH</t>
  </si>
  <si>
    <t>OMC</t>
  </si>
  <si>
    <t>FOH-OMC</t>
  </si>
  <si>
    <t>FY 23-24</t>
  </si>
  <si>
    <t>FY 24-25</t>
  </si>
  <si>
    <t>Percentage Above Performance Target</t>
  </si>
  <si>
    <t>EAF % Baseloads</t>
  </si>
  <si>
    <t>EAF % Peakers</t>
  </si>
  <si>
    <t>OMC = Out of Management Control (Forced Majour Events)</t>
  </si>
  <si>
    <t>OA %</t>
  </si>
  <si>
    <t>EAF %</t>
  </si>
  <si>
    <t>EFOR %</t>
  </si>
  <si>
    <t>CF %</t>
  </si>
  <si>
    <t>EOF %</t>
  </si>
  <si>
    <t>MOF %</t>
  </si>
  <si>
    <t>POF %</t>
  </si>
  <si>
    <t>FOF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</si>
</sst>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_(* #,##0_);_(* \(#,##0\);_(* &quot;-&quot;??_);_(@_)"/>
    <numFmt numFmtId="166" formatCode="0.0"/>
    <numFmt numFmtId="167" formatCode="0.00_)"/>
    <numFmt numFmtId="168" formatCode="0.0%"/>
  </numFmts>
  <fonts count="18"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sz val="11"/>
      <color theme="1"/>
      <name val="Arial"/>
      <family val="2"/>
    </font>
    <font>
      <sz val="11"/>
      <color rgb="FF242424"/>
      <name val="Arial"/>
      <family val="2"/>
    </font>
    <font>
      <b/>
      <sz val="11"/>
      <color theme="1"/>
      <name val="Arial"/>
      <family val="2"/>
    </font>
    <font>
      <b/>
      <sz val="11"/>
      <name val="Arial"/>
      <family val="2"/>
    </font>
    <font>
      <sz val="11"/>
      <name val="Arial"/>
      <family val="2"/>
    </font>
    <font>
      <sz val="11"/>
      <color rgb="FF000000"/>
      <name val="Aptos Narrow"/>
      <family val="2"/>
    </font>
    <font>
      <sz val="11"/>
      <color rgb="FF000000"/>
      <name val="Arial"/>
      <family val="2"/>
    </font>
    <font>
      <sz val="10"/>
      <color theme="1"/>
      <name val="Arial"/>
      <family val="2"/>
    </font>
    <font>
      <b/>
      <sz val="10"/>
      <color theme="1"/>
      <name val="Arial"/>
      <family val="2"/>
    </font>
    <font>
      <b/>
      <sz val="10"/>
      <color theme="0"/>
      <name val="Arial"/>
      <family val="2"/>
    </font>
    <font>
      <b/>
      <sz val="11"/>
      <color theme="0"/>
      <name val="Arial"/>
      <family val="2"/>
    </font>
    <font>
      <b/>
      <sz val="11"/>
      <color rgb="FF242424"/>
      <name val="Arial"/>
      <family val="2"/>
    </font>
    <font>
      <b/>
      <sz val="11"/>
      <color rgb="FF000000"/>
      <name val="Arial"/>
      <family val="2"/>
    </font>
    <font>
      <b/>
      <sz val="11"/>
      <color rgb="FFFF0000"/>
      <name val="Aptos Narrow"/>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D9D9D9"/>
        <bgColor rgb="FF000000"/>
      </patternFill>
    </fill>
    <fill>
      <patternFill patternType="solid">
        <fgColor rgb="FF92D050"/>
        <bgColor indexed="64"/>
      </patternFill>
    </fill>
  </fills>
  <borders count="8">
    <border>
      <left/>
      <right/>
      <top/>
      <bottom/>
      <diagonal/>
    </border>
    <border>
      <left/>
      <right/>
      <top style="thin">
        <color indexed="64"/>
      </top>
      <bottom style="medium">
        <color indexed="64"/>
      </bottom>
      <diagonal/>
    </border>
    <border>
      <left/>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3" fontId="1" fillId="0" borderId="0" applyFont="0" applyFill="0" applyBorder="0" applyAlignment="0" applyProtection="0"/>
  </cellStyleXfs>
  <cellXfs count="225">
    <xf numFmtId="0" fontId="0" fillId="0" borderId="0" xfId="0"/>
    <xf numFmtId="0" fontId="2" fillId="0" borderId="0" xfId="0" applyFont="1"/>
    <xf numFmtId="0" fontId="2" fillId="0" borderId="0" xfId="0" applyFont="1" applyAlignment="1">
      <alignment horizontal="center" vertical="center" wrapText="1"/>
    </xf>
    <xf numFmtId="2" fontId="0" fillId="0" borderId="0" xfId="0" applyNumberFormat="1" applyAlignment="1">
      <alignment horizontal="center" vertical="center"/>
    </xf>
    <xf numFmtId="0" fontId="0" fillId="0" borderId="0" xfId="0" applyAlignment="1">
      <alignment vertical="center"/>
    </xf>
    <xf numFmtId="0" fontId="2" fillId="0" borderId="0" xfId="0" applyFont="1" applyAlignment="1">
      <alignment vertical="center"/>
    </xf>
    <xf numFmtId="2" fontId="4" fillId="0" borderId="0" xfId="0" applyNumberFormat="1" applyFont="1" applyAlignment="1">
      <alignment horizontal="center" vertical="center"/>
    </xf>
    <xf numFmtId="2" fontId="5" fillId="0" borderId="1"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164" fontId="7" fillId="0" borderId="0" xfId="1" applyNumberFormat="1" applyFont="1" applyAlignment="1">
      <alignment horizontal="center" vertical="center" wrapText="1"/>
    </xf>
    <xf numFmtId="2" fontId="7" fillId="0" borderId="0" xfId="0" applyNumberFormat="1" applyFont="1" applyAlignment="1">
      <alignment horizontal="center" vertical="center" wrapText="1"/>
    </xf>
    <xf numFmtId="1" fontId="4" fillId="0" borderId="0" xfId="0" applyNumberFormat="1"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2" fontId="5" fillId="0" borderId="0" xfId="0" applyNumberFormat="1" applyFont="1" applyAlignment="1">
      <alignment horizontal="center" vertical="center"/>
    </xf>
    <xf numFmtId="165" fontId="4" fillId="0" borderId="0" xfId="1" applyNumberFormat="1" applyFont="1" applyAlignment="1">
      <alignment horizontal="center" vertical="center"/>
    </xf>
    <xf numFmtId="1" fontId="8" fillId="0" borderId="0" xfId="0" applyNumberFormat="1" applyFont="1" applyAlignment="1" applyProtection="1">
      <alignment horizontal="center" vertical="center"/>
      <protection locked="0"/>
    </xf>
    <xf numFmtId="2" fontId="8" fillId="0" borderId="0" xfId="0" applyNumberFormat="1" applyFont="1" applyAlignment="1">
      <alignment horizontal="center" vertical="center"/>
    </xf>
    <xf numFmtId="165" fontId="8" fillId="0" borderId="0" xfId="1" applyNumberFormat="1" applyFont="1" applyAlignment="1">
      <alignment horizontal="center" vertical="center" wrapText="1"/>
    </xf>
    <xf numFmtId="0" fontId="4" fillId="0" borderId="0" xfId="1" applyNumberFormat="1" applyFont="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2"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1" fontId="4" fillId="0" borderId="1" xfId="0" applyNumberFormat="1" applyFont="1" applyBorder="1" applyAlignment="1">
      <alignment horizontal="center" vertical="center"/>
    </xf>
    <xf numFmtId="0" fontId="4" fillId="0" borderId="2" xfId="0" applyFont="1" applyBorder="1" applyAlignment="1">
      <alignment horizontal="center" vertical="center"/>
    </xf>
    <xf numFmtId="2" fontId="4" fillId="0" borderId="2" xfId="0" applyNumberFormat="1" applyFont="1" applyBorder="1" applyAlignment="1">
      <alignment horizontal="center" vertical="center"/>
    </xf>
    <xf numFmtId="1" fontId="4" fillId="0" borderId="2" xfId="0" applyNumberFormat="1" applyFont="1" applyBorder="1" applyAlignment="1">
      <alignment horizontal="center" vertical="center"/>
    </xf>
    <xf numFmtId="0" fontId="7" fillId="0" borderId="2" xfId="0" applyFont="1" applyBorder="1" applyAlignment="1">
      <alignment horizontal="center" vertical="center"/>
    </xf>
    <xf numFmtId="165" fontId="4" fillId="0" borderId="2" xfId="0" applyNumberFormat="1" applyFont="1" applyBorder="1" applyAlignment="1">
      <alignment horizontal="center" vertical="center"/>
    </xf>
    <xf numFmtId="165" fontId="4" fillId="0" borderId="2" xfId="1" applyNumberFormat="1" applyFont="1" applyBorder="1" applyAlignment="1">
      <alignment horizontal="center" vertical="center"/>
    </xf>
    <xf numFmtId="165" fontId="4" fillId="0" borderId="1" xfId="1" applyNumberFormat="1" applyFont="1" applyBorder="1" applyAlignment="1">
      <alignment horizontal="center" vertical="center"/>
    </xf>
    <xf numFmtId="0" fontId="6" fillId="2" borderId="0" xfId="0" applyFont="1" applyFill="1" applyAlignment="1">
      <alignment horizontal="center" vertical="center"/>
    </xf>
    <xf numFmtId="49" fontId="4" fillId="0" borderId="0" xfId="0" applyNumberFormat="1" applyFont="1" applyAlignment="1">
      <alignment horizontal="center" vertical="center"/>
    </xf>
    <xf numFmtId="43" fontId="4" fillId="0" borderId="0" xfId="1" applyFont="1" applyAlignment="1">
      <alignment horizontal="center" vertical="center"/>
    </xf>
    <xf numFmtId="43" fontId="4" fillId="0" borderId="2" xfId="1" applyFont="1" applyBorder="1" applyAlignment="1">
      <alignment horizontal="center" vertical="center"/>
    </xf>
    <xf numFmtId="0" fontId="4" fillId="3" borderId="1" xfId="0" applyFont="1" applyFill="1" applyBorder="1" applyAlignment="1">
      <alignment horizontal="center" vertical="center"/>
    </xf>
    <xf numFmtId="0" fontId="8" fillId="0" borderId="0" xfId="0" applyFont="1" applyAlignment="1">
      <alignment horizontal="center"/>
    </xf>
    <xf numFmtId="165" fontId="4" fillId="0" borderId="0" xfId="0" applyNumberFormat="1" applyFont="1" applyAlignment="1">
      <alignment horizontal="center" vertical="center"/>
    </xf>
    <xf numFmtId="4" fontId="4" fillId="0" borderId="0" xfId="0" applyNumberFormat="1" applyFont="1" applyAlignment="1">
      <alignment horizontal="center" vertical="center"/>
    </xf>
    <xf numFmtId="43" fontId="4" fillId="0" borderId="1" xfId="1" applyFont="1" applyBorder="1" applyAlignment="1">
      <alignment horizontal="center" vertical="center"/>
    </xf>
    <xf numFmtId="4" fontId="4" fillId="0" borderId="2" xfId="0" applyNumberFormat="1" applyFont="1" applyBorder="1" applyAlignment="1">
      <alignment horizontal="center" vertical="center"/>
    </xf>
    <xf numFmtId="43" fontId="4" fillId="0" borderId="0" xfId="0" applyNumberFormat="1" applyFont="1" applyAlignment="1">
      <alignment horizontal="center" vertical="center"/>
    </xf>
    <xf numFmtId="43" fontId="4" fillId="0" borderId="2" xfId="0" applyNumberFormat="1" applyFont="1" applyBorder="1" applyAlignment="1">
      <alignment horizontal="center" vertical="center"/>
    </xf>
    <xf numFmtId="0" fontId="6" fillId="0" borderId="2" xfId="0" applyFont="1" applyBorder="1" applyAlignment="1">
      <alignment horizontal="center" vertical="center"/>
    </xf>
    <xf numFmtId="2" fontId="4" fillId="0" borderId="0" xfId="0" applyNumberFormat="1" applyFont="1" applyAlignment="1">
      <alignment vertical="center" wrapText="1"/>
    </xf>
    <xf numFmtId="4" fontId="4" fillId="0" borderId="0" xfId="0" applyNumberFormat="1" applyFont="1" applyAlignment="1">
      <alignment vertical="center"/>
    </xf>
    <xf numFmtId="3" fontId="4" fillId="0" borderId="0" xfId="0" applyNumberFormat="1" applyFont="1" applyAlignment="1">
      <alignment vertical="center"/>
    </xf>
    <xf numFmtId="2" fontId="4" fillId="0" borderId="0" xfId="0" applyNumberFormat="1" applyFont="1" applyAlignment="1">
      <alignment horizontal="center" vertical="center" wrapText="1"/>
    </xf>
    <xf numFmtId="166"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43" fontId="4" fillId="0" borderId="0" xfId="0" applyNumberFormat="1" applyFont="1"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6" fillId="0" borderId="0" xfId="0" applyFont="1" applyAlignment="1">
      <alignment vertical="center" wrapText="1"/>
    </xf>
    <xf numFmtId="0" fontId="6" fillId="0" borderId="5" xfId="0" applyFont="1" applyBorder="1" applyAlignment="1">
      <alignment horizontal="center" vertical="center"/>
    </xf>
    <xf numFmtId="0" fontId="2" fillId="0" borderId="0" xfId="0" applyFont="1" applyAlignment="1">
      <alignment vertical="center" wrapText="1"/>
    </xf>
    <xf numFmtId="0" fontId="6" fillId="0" borderId="4" xfId="0" applyFont="1" applyBorder="1" applyAlignment="1">
      <alignment horizontal="center" vertical="center"/>
    </xf>
    <xf numFmtId="43" fontId="4" fillId="0" borderId="2" xfId="0" applyNumberFormat="1" applyFont="1" applyBorder="1" applyAlignment="1">
      <alignment vertical="center"/>
    </xf>
    <xf numFmtId="1" fontId="4" fillId="0" borderId="0" xfId="0" applyNumberFormat="1" applyFont="1" applyAlignment="1">
      <alignment vertical="center"/>
    </xf>
    <xf numFmtId="0" fontId="6" fillId="0" borderId="0" xfId="0" applyFont="1" applyAlignment="1">
      <alignment vertical="center"/>
    </xf>
    <xf numFmtId="0" fontId="4" fillId="0" borderId="0" xfId="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10" fontId="4" fillId="0" borderId="0" xfId="0" applyNumberFormat="1" applyFont="1" applyAlignment="1">
      <alignment horizontal="center" vertical="center"/>
    </xf>
    <xf numFmtId="9" fontId="4" fillId="0" borderId="0" xfId="0" applyNumberFormat="1" applyFont="1" applyAlignment="1">
      <alignment horizontal="center" vertical="center"/>
    </xf>
    <xf numFmtId="43" fontId="6" fillId="0" borderId="0" xfId="0" applyNumberFormat="1" applyFont="1" applyAlignment="1">
      <alignment vertical="center"/>
    </xf>
    <xf numFmtId="43" fontId="6" fillId="0" borderId="0" xfId="0" applyNumberFormat="1" applyFont="1" applyAlignment="1">
      <alignment horizontal="center" vertical="center"/>
    </xf>
    <xf numFmtId="1" fontId="0" fillId="0" borderId="0" xfId="0" applyNumberFormat="1" applyAlignment="1">
      <alignment horizontal="center" vertical="center"/>
    </xf>
    <xf numFmtId="43" fontId="0" fillId="4" borderId="0" xfId="0" applyNumberFormat="1" applyFill="1"/>
    <xf numFmtId="0" fontId="6" fillId="0" borderId="0" xfId="0" applyFont="1" applyAlignment="1">
      <alignment horizontal="center" vertical="center"/>
    </xf>
    <xf numFmtId="165" fontId="6" fillId="0" borderId="2" xfId="0" applyNumberFormat="1" applyFont="1" applyBorder="1" applyAlignment="1">
      <alignment horizontal="center" vertical="center"/>
    </xf>
    <xf numFmtId="0" fontId="6" fillId="0" borderId="0" xfId="0" applyFont="1" applyAlignment="1">
      <alignment horizontal="left" vertical="center" wrapText="1"/>
    </xf>
    <xf numFmtId="0" fontId="0" fillId="0" borderId="0" xfId="0" applyAlignment="1">
      <alignment horizontal="left" vertical="center"/>
    </xf>
    <xf numFmtId="9" fontId="4" fillId="0" borderId="1" xfId="0" applyNumberFormat="1" applyFont="1" applyBorder="1" applyAlignment="1">
      <alignment horizontal="center" vertical="center"/>
    </xf>
    <xf numFmtId="9" fontId="4" fillId="0" borderId="2" xfId="0" applyNumberFormat="1" applyFont="1" applyBorder="1" applyAlignment="1">
      <alignment horizontal="center" vertical="center"/>
    </xf>
    <xf numFmtId="9" fontId="5" fillId="0" borderId="2" xfId="0" applyNumberFormat="1" applyFont="1" applyBorder="1" applyAlignment="1">
      <alignment horizontal="center" vertical="center"/>
    </xf>
    <xf numFmtId="9" fontId="5" fillId="0" borderId="1" xfId="0" applyNumberFormat="1" applyFont="1" applyBorder="1" applyAlignment="1">
      <alignment horizontal="center" vertical="center"/>
    </xf>
    <xf numFmtId="9" fontId="6" fillId="0" borderId="0" xfId="0" applyNumberFormat="1" applyFont="1" applyAlignment="1">
      <alignment horizontal="center" vertical="center"/>
    </xf>
    <xf numFmtId="1" fontId="6" fillId="0" borderId="0" xfId="0" applyNumberFormat="1" applyFont="1" applyAlignment="1">
      <alignment horizontal="center" vertical="center"/>
    </xf>
    <xf numFmtId="2" fontId="6" fillId="0" borderId="0" xfId="0" applyNumberFormat="1" applyFont="1" applyAlignment="1">
      <alignment horizontal="center" vertical="center"/>
    </xf>
    <xf numFmtId="43" fontId="4" fillId="0" borderId="0" xfId="1" applyFont="1" applyFill="1" applyAlignment="1">
      <alignment horizontal="center" vertical="center"/>
    </xf>
    <xf numFmtId="165" fontId="4" fillId="0" borderId="0" xfId="1" applyNumberFormat="1" applyFont="1" applyFill="1" applyAlignment="1">
      <alignment horizontal="center" vertical="center"/>
    </xf>
    <xf numFmtId="49" fontId="6" fillId="0" borderId="2" xfId="0" applyNumberFormat="1" applyFont="1" applyBorder="1" applyAlignment="1">
      <alignment horizontal="center" vertical="center"/>
    </xf>
    <xf numFmtId="43" fontId="4" fillId="0" borderId="2" xfId="1" applyFont="1" applyFill="1" applyBorder="1" applyAlignment="1">
      <alignment horizontal="center" vertical="center"/>
    </xf>
    <xf numFmtId="165" fontId="4" fillId="0" borderId="2" xfId="1" applyNumberFormat="1" applyFont="1" applyFill="1" applyBorder="1" applyAlignment="1">
      <alignment horizontal="center" vertical="center"/>
    </xf>
    <xf numFmtId="0" fontId="8" fillId="0" borderId="2" xfId="0" applyFont="1" applyBorder="1" applyAlignment="1">
      <alignment horizontal="center" vertical="center"/>
    </xf>
    <xf numFmtId="167" fontId="8" fillId="0" borderId="0" xfId="0" applyNumberFormat="1" applyFont="1" applyAlignment="1">
      <alignment horizontal="center"/>
    </xf>
    <xf numFmtId="43" fontId="4" fillId="0" borderId="0" xfId="1" applyFont="1" applyFill="1" applyBorder="1" applyAlignment="1">
      <alignment vertical="center" wrapText="1"/>
    </xf>
    <xf numFmtId="4" fontId="8" fillId="0" borderId="0" xfId="0" applyNumberFormat="1" applyFont="1" applyAlignment="1">
      <alignment horizontal="center" vertical="center"/>
    </xf>
    <xf numFmtId="1" fontId="4" fillId="0" borderId="0" xfId="1" applyNumberFormat="1" applyFont="1" applyFill="1" applyBorder="1" applyAlignment="1">
      <alignment horizontal="center" vertical="center" wrapText="1"/>
    </xf>
    <xf numFmtId="49" fontId="6" fillId="0" borderId="1" xfId="0" applyNumberFormat="1" applyFont="1" applyBorder="1" applyAlignment="1">
      <alignment horizontal="center" vertical="center"/>
    </xf>
    <xf numFmtId="43" fontId="4" fillId="0" borderId="1" xfId="1" applyFont="1" applyFill="1" applyBorder="1" applyAlignment="1">
      <alignment horizontal="center" vertical="center"/>
    </xf>
    <xf numFmtId="4" fontId="8" fillId="0" borderId="2" xfId="0" applyNumberFormat="1" applyFont="1" applyBorder="1" applyAlignment="1">
      <alignment horizontal="center" vertical="center"/>
    </xf>
    <xf numFmtId="43" fontId="4" fillId="0" borderId="1" xfId="0" applyNumberFormat="1" applyFont="1" applyBorder="1" applyAlignment="1">
      <alignment horizontal="center" vertical="center"/>
    </xf>
    <xf numFmtId="165" fontId="8" fillId="0" borderId="0" xfId="1" applyNumberFormat="1" applyFont="1" applyFill="1" applyAlignment="1" applyProtection="1">
      <alignment horizontal="right" vertical="center"/>
      <protection locked="0"/>
    </xf>
    <xf numFmtId="2" fontId="8" fillId="0" borderId="0" xfId="0" applyNumberFormat="1" applyFont="1" applyAlignment="1" applyProtection="1">
      <alignment horizontal="center" vertical="center"/>
      <protection locked="0"/>
    </xf>
    <xf numFmtId="165" fontId="8" fillId="0" borderId="0" xfId="1" applyNumberFormat="1" applyFont="1" applyFill="1" applyBorder="1" applyAlignment="1" applyProtection="1">
      <alignment horizontal="right" vertical="center"/>
      <protection locked="0"/>
    </xf>
    <xf numFmtId="165" fontId="4" fillId="0" borderId="1" xfId="1" applyNumberFormat="1" applyFont="1" applyFill="1" applyBorder="1" applyAlignment="1">
      <alignment horizontal="center" vertical="center"/>
    </xf>
    <xf numFmtId="43" fontId="4" fillId="0" borderId="0" xfId="0" applyNumberFormat="1" applyFont="1" applyAlignment="1">
      <alignment vertical="center" wrapText="1"/>
    </xf>
    <xf numFmtId="165" fontId="8" fillId="0" borderId="0" xfId="1" applyNumberFormat="1" applyFont="1" applyFill="1" applyAlignment="1">
      <alignment horizontal="center" vertical="center" wrapText="1"/>
    </xf>
    <xf numFmtId="49" fontId="6" fillId="0" borderId="0" xfId="0" applyNumberFormat="1" applyFont="1" applyAlignment="1">
      <alignment horizontal="center" vertical="center"/>
    </xf>
    <xf numFmtId="165" fontId="8" fillId="0" borderId="2" xfId="1" applyNumberFormat="1"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right" vertical="center"/>
    </xf>
    <xf numFmtId="0" fontId="10" fillId="0" borderId="0" xfId="0" applyFont="1" applyAlignment="1">
      <alignment horizontal="center" vertical="center"/>
    </xf>
    <xf numFmtId="3" fontId="10" fillId="0" borderId="0" xfId="0" applyNumberFormat="1" applyFont="1" applyAlignment="1">
      <alignment horizontal="right" vertical="center"/>
    </xf>
    <xf numFmtId="3" fontId="4" fillId="0" borderId="2" xfId="0" applyNumberFormat="1" applyFont="1" applyBorder="1" applyAlignment="1">
      <alignment horizontal="center" vertical="center"/>
    </xf>
    <xf numFmtId="2" fontId="15" fillId="0" borderId="0" xfId="0" applyNumberFormat="1" applyFont="1" applyAlignment="1">
      <alignment horizontal="center" vertical="center"/>
    </xf>
    <xf numFmtId="165" fontId="6" fillId="0" borderId="0" xfId="0" applyNumberFormat="1" applyFont="1" applyAlignment="1">
      <alignment horizontal="center" vertical="center"/>
    </xf>
    <xf numFmtId="9" fontId="15" fillId="0" borderId="0" xfId="0" applyNumberFormat="1" applyFont="1" applyAlignment="1">
      <alignment horizontal="center" vertical="center"/>
    </xf>
    <xf numFmtId="0" fontId="6" fillId="0" borderId="1" xfId="0" applyFont="1" applyBorder="1" applyAlignment="1">
      <alignment horizontal="center" vertical="center"/>
    </xf>
    <xf numFmtId="9" fontId="6"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9" fontId="6" fillId="0" borderId="2" xfId="0" applyNumberFormat="1" applyFont="1" applyBorder="1" applyAlignment="1">
      <alignment horizontal="center" vertical="center"/>
    </xf>
    <xf numFmtId="9" fontId="15" fillId="0" borderId="1" xfId="0" applyNumberFormat="1" applyFont="1" applyBorder="1" applyAlignment="1">
      <alignment horizontal="center" vertical="center"/>
    </xf>
    <xf numFmtId="2" fontId="6" fillId="0" borderId="2" xfId="0" applyNumberFormat="1" applyFont="1" applyBorder="1" applyAlignment="1">
      <alignment horizontal="center" vertical="center"/>
    </xf>
    <xf numFmtId="9" fontId="15" fillId="0" borderId="2" xfId="0" applyNumberFormat="1" applyFont="1" applyBorder="1" applyAlignment="1">
      <alignment horizontal="center" vertical="center"/>
    </xf>
    <xf numFmtId="165" fontId="6" fillId="0" borderId="2" xfId="1" applyNumberFormat="1" applyFont="1" applyFill="1" applyBorder="1" applyAlignment="1">
      <alignment horizontal="center" vertical="center"/>
    </xf>
    <xf numFmtId="165" fontId="6" fillId="0" borderId="2" xfId="1" applyNumberFormat="1" applyFont="1" applyBorder="1" applyAlignment="1">
      <alignment horizontal="center" vertical="center"/>
    </xf>
    <xf numFmtId="43" fontId="6" fillId="0" borderId="2" xfId="1" applyFont="1" applyFill="1" applyBorder="1" applyAlignment="1">
      <alignment horizontal="center" vertical="center"/>
    </xf>
    <xf numFmtId="4" fontId="6" fillId="0" borderId="2" xfId="0" applyNumberFormat="1" applyFont="1" applyBorder="1" applyAlignment="1">
      <alignment horizontal="center" vertical="center"/>
    </xf>
    <xf numFmtId="43" fontId="6" fillId="0" borderId="2" xfId="1" applyFont="1" applyBorder="1" applyAlignment="1">
      <alignment horizontal="center" vertical="center"/>
    </xf>
    <xf numFmtId="43" fontId="6" fillId="0" borderId="1" xfId="0" applyNumberFormat="1" applyFont="1" applyBorder="1" applyAlignment="1">
      <alignment horizontal="center" vertical="center"/>
    </xf>
    <xf numFmtId="43" fontId="6" fillId="0" borderId="2" xfId="0" applyNumberFormat="1" applyFont="1" applyBorder="1" applyAlignment="1">
      <alignment horizontal="center" vertical="center"/>
    </xf>
    <xf numFmtId="0" fontId="7" fillId="0" borderId="0" xfId="0" applyFont="1"/>
    <xf numFmtId="166" fontId="4" fillId="0" borderId="0" xfId="0" applyNumberFormat="1" applyFont="1" applyAlignment="1">
      <alignment horizontal="center" vertical="center"/>
    </xf>
    <xf numFmtId="165" fontId="4" fillId="0" borderId="0" xfId="1" applyNumberFormat="1" applyFont="1" applyFill="1" applyAlignment="1">
      <alignment vertical="center"/>
    </xf>
    <xf numFmtId="9" fontId="0" fillId="0" borderId="0" xfId="0" applyNumberFormat="1" applyAlignment="1">
      <alignment horizontal="left" vertical="center"/>
    </xf>
    <xf numFmtId="2" fontId="4" fillId="0" borderId="0" xfId="0" applyNumberFormat="1" applyFont="1" applyAlignment="1">
      <alignment vertical="center"/>
    </xf>
    <xf numFmtId="2" fontId="4" fillId="0" borderId="0" xfId="1" applyNumberFormat="1" applyFont="1" applyFill="1" applyAlignment="1">
      <alignment vertical="center"/>
    </xf>
    <xf numFmtId="43" fontId="6" fillId="0" borderId="2" xfId="1" applyFont="1" applyFill="1" applyBorder="1" applyAlignment="1">
      <alignment vertical="center"/>
    </xf>
    <xf numFmtId="1" fontId="7" fillId="0" borderId="2" xfId="0" applyNumberFormat="1" applyFont="1" applyBorder="1" applyAlignment="1" applyProtection="1">
      <alignment horizontal="center" vertical="center"/>
      <protection locked="0"/>
    </xf>
    <xf numFmtId="43" fontId="4" fillId="0" borderId="0" xfId="1" applyFont="1" applyFill="1" applyAlignment="1">
      <alignment vertical="center"/>
    </xf>
    <xf numFmtId="43" fontId="4" fillId="0" borderId="0" xfId="0" applyNumberFormat="1" applyFont="1" applyAlignment="1">
      <alignment vertical="center"/>
    </xf>
    <xf numFmtId="43" fontId="6" fillId="0" borderId="2" xfId="0" applyNumberFormat="1" applyFont="1" applyBorder="1" applyAlignment="1">
      <alignment vertical="center"/>
    </xf>
    <xf numFmtId="0" fontId="6" fillId="0" borderId="2" xfId="0" applyFont="1" applyBorder="1" applyAlignment="1">
      <alignment vertical="center"/>
    </xf>
    <xf numFmtId="0" fontId="7" fillId="2" borderId="0" xfId="0" applyFont="1" applyFill="1" applyAlignment="1">
      <alignment horizontal="center" vertical="center"/>
    </xf>
    <xf numFmtId="43" fontId="6" fillId="2" borderId="0" xfId="0" applyNumberFormat="1" applyFont="1" applyFill="1" applyAlignment="1">
      <alignment horizontal="center" vertical="center"/>
    </xf>
    <xf numFmtId="9" fontId="6" fillId="2" borderId="0" xfId="0" applyNumberFormat="1" applyFont="1" applyFill="1" applyAlignment="1">
      <alignment horizontal="center" vertical="center"/>
    </xf>
    <xf numFmtId="43" fontId="6" fillId="2" borderId="0" xfId="0" applyNumberFormat="1" applyFont="1" applyFill="1" applyAlignment="1">
      <alignment vertical="center"/>
    </xf>
    <xf numFmtId="2" fontId="6" fillId="2" borderId="0" xfId="0" applyNumberFormat="1" applyFont="1" applyFill="1" applyAlignment="1">
      <alignment horizontal="center" vertical="center"/>
    </xf>
    <xf numFmtId="0" fontId="6" fillId="5" borderId="0" xfId="0" applyFont="1" applyFill="1" applyAlignment="1">
      <alignment horizontal="center" vertical="center"/>
    </xf>
    <xf numFmtId="43" fontId="6" fillId="5" borderId="0" xfId="0" applyNumberFormat="1" applyFont="1" applyFill="1" applyAlignment="1">
      <alignment horizontal="center" vertical="center"/>
    </xf>
    <xf numFmtId="9" fontId="6" fillId="5" borderId="0" xfId="0" applyNumberFormat="1" applyFont="1" applyFill="1" applyAlignment="1">
      <alignment horizontal="center" vertical="center"/>
    </xf>
    <xf numFmtId="9" fontId="5" fillId="0" borderId="0" xfId="0" applyNumberFormat="1" applyFont="1" applyAlignment="1">
      <alignment horizontal="center" vertical="center"/>
    </xf>
    <xf numFmtId="9" fontId="4" fillId="0" borderId="0" xfId="0" applyNumberFormat="1" applyFont="1" applyAlignment="1">
      <alignment vertical="center"/>
    </xf>
    <xf numFmtId="9" fontId="0" fillId="0" borderId="0" xfId="0" applyNumberFormat="1" applyAlignment="1">
      <alignment vertical="center"/>
    </xf>
    <xf numFmtId="1" fontId="10" fillId="0" borderId="2" xfId="0" applyNumberFormat="1" applyFont="1" applyBorder="1" applyAlignment="1">
      <alignment horizontal="center" vertical="center"/>
    </xf>
    <xf numFmtId="1" fontId="15" fillId="0" borderId="0" xfId="0" applyNumberFormat="1" applyFont="1" applyAlignment="1">
      <alignment horizontal="center" vertical="center"/>
    </xf>
    <xf numFmtId="0" fontId="6" fillId="0" borderId="6" xfId="0" applyFont="1" applyBorder="1" applyAlignment="1">
      <alignment horizontal="center" vertical="center"/>
    </xf>
    <xf numFmtId="0" fontId="4" fillId="0" borderId="6" xfId="0" applyFont="1" applyBorder="1" applyAlignment="1">
      <alignment horizontal="center" vertical="center"/>
    </xf>
    <xf numFmtId="2" fontId="4" fillId="0" borderId="6" xfId="0" applyNumberFormat="1" applyFont="1" applyBorder="1" applyAlignment="1">
      <alignment horizontal="center" vertical="center" wrapText="1"/>
    </xf>
    <xf numFmtId="2" fontId="4" fillId="0" borderId="6" xfId="0" applyNumberFormat="1" applyFont="1" applyBorder="1" applyAlignment="1">
      <alignment horizontal="center" vertical="center"/>
    </xf>
    <xf numFmtId="1" fontId="4" fillId="0" borderId="6" xfId="0" applyNumberFormat="1" applyFont="1" applyBorder="1" applyAlignment="1">
      <alignment horizontal="center" vertical="center"/>
    </xf>
    <xf numFmtId="165" fontId="15" fillId="0" borderId="0" xfId="0" applyNumberFormat="1" applyFont="1" applyAlignment="1">
      <alignment horizontal="center" vertical="center"/>
    </xf>
    <xf numFmtId="10" fontId="6" fillId="0" borderId="2" xfId="0" applyNumberFormat="1" applyFont="1" applyBorder="1" applyAlignment="1">
      <alignment horizontal="center" vertical="center"/>
    </xf>
    <xf numFmtId="10" fontId="6" fillId="5" borderId="0" xfId="0" applyNumberFormat="1" applyFont="1" applyFill="1" applyAlignment="1">
      <alignment horizontal="center" vertical="center"/>
    </xf>
    <xf numFmtId="10" fontId="6" fillId="2" borderId="0" xfId="0" applyNumberFormat="1" applyFont="1" applyFill="1" applyAlignment="1">
      <alignment horizontal="center" vertical="center"/>
    </xf>
    <xf numFmtId="1" fontId="8" fillId="0" borderId="0" xfId="1" applyNumberFormat="1" applyFont="1" applyFill="1" applyAlignment="1" applyProtection="1">
      <alignment horizontal="right" vertical="center"/>
      <protection locked="0"/>
    </xf>
    <xf numFmtId="9" fontId="8" fillId="0" borderId="0" xfId="0" applyNumberFormat="1" applyFont="1" applyAlignment="1">
      <alignment horizontal="center" vertical="center"/>
    </xf>
    <xf numFmtId="9" fontId="4" fillId="0" borderId="6" xfId="0" applyNumberFormat="1" applyFont="1" applyBorder="1" applyAlignment="1">
      <alignment horizontal="center" vertical="center"/>
    </xf>
    <xf numFmtId="9" fontId="5" fillId="0" borderId="6" xfId="0" applyNumberFormat="1" applyFont="1" applyBorder="1" applyAlignment="1">
      <alignment horizontal="center" vertical="center"/>
    </xf>
    <xf numFmtId="1" fontId="4" fillId="0" borderId="6" xfId="0" applyNumberFormat="1" applyFont="1" applyBorder="1" applyAlignment="1">
      <alignment horizontal="center" vertical="center" wrapText="1"/>
    </xf>
    <xf numFmtId="165" fontId="4" fillId="0" borderId="0" xfId="0" applyNumberFormat="1" applyFont="1" applyAlignment="1">
      <alignment horizontal="center" vertical="center" wrapText="1"/>
    </xf>
    <xf numFmtId="0" fontId="0" fillId="2" borderId="0" xfId="0" applyFill="1" applyAlignment="1">
      <alignment vertical="center"/>
    </xf>
    <xf numFmtId="0" fontId="0" fillId="2" borderId="0" xfId="0" applyFill="1" applyAlignment="1">
      <alignment vertical="center" wrapText="1"/>
    </xf>
    <xf numFmtId="43" fontId="2" fillId="2" borderId="0" xfId="0" applyNumberFormat="1" applyFont="1" applyFill="1" applyAlignment="1">
      <alignment vertical="center"/>
    </xf>
    <xf numFmtId="0" fontId="2" fillId="2" borderId="0" xfId="0" applyFont="1" applyFill="1" applyAlignment="1">
      <alignment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14" fillId="0" borderId="0" xfId="0" applyFont="1" applyAlignment="1">
      <alignment vertical="center"/>
    </xf>
    <xf numFmtId="9" fontId="4" fillId="0" borderId="0" xfId="0" quotePrefix="1" applyNumberFormat="1" applyFont="1" applyAlignment="1">
      <alignment horizontal="center" vertical="center"/>
    </xf>
    <xf numFmtId="0" fontId="4" fillId="0" borderId="0" xfId="0" quotePrefix="1" applyFont="1" applyAlignment="1">
      <alignment horizontal="center" vertical="center"/>
    </xf>
    <xf numFmtId="0" fontId="5" fillId="0" borderId="0" xfId="0" applyFont="1"/>
    <xf numFmtId="0" fontId="13"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vertical="center"/>
    </xf>
    <xf numFmtId="0" fontId="12" fillId="0" borderId="0" xfId="0" applyFont="1" applyAlignment="1">
      <alignment horizontal="center" vertical="center"/>
    </xf>
    <xf numFmtId="9" fontId="11" fillId="0" borderId="0" xfId="0" applyNumberFormat="1" applyFont="1" applyAlignment="1">
      <alignment horizontal="center" vertical="center"/>
    </xf>
    <xf numFmtId="9" fontId="11" fillId="0" borderId="0" xfId="0" quotePrefix="1" applyNumberFormat="1" applyFont="1" applyAlignment="1">
      <alignment horizontal="center" vertical="center"/>
    </xf>
    <xf numFmtId="0" fontId="11" fillId="0" borderId="0" xfId="0" applyFont="1" applyAlignment="1">
      <alignment vertical="center" wrapText="1"/>
    </xf>
    <xf numFmtId="0" fontId="11" fillId="0" borderId="0" xfId="0" quotePrefix="1" applyFont="1" applyAlignment="1">
      <alignment horizontal="center" vertical="center"/>
    </xf>
    <xf numFmtId="0" fontId="11" fillId="0" borderId="0" xfId="0" applyFont="1" applyAlignment="1">
      <alignment vertical="center"/>
    </xf>
    <xf numFmtId="43" fontId="4" fillId="0" borderId="2" xfId="1" applyFont="1" applyFill="1" applyBorder="1" applyAlignment="1">
      <alignment vertical="center"/>
    </xf>
    <xf numFmtId="1" fontId="8" fillId="0" borderId="2" xfId="0" applyNumberFormat="1" applyFont="1" applyBorder="1" applyAlignment="1" applyProtection="1">
      <alignment horizontal="center" vertical="center"/>
      <protection locked="0"/>
    </xf>
    <xf numFmtId="49" fontId="4" fillId="0" borderId="2" xfId="0" applyNumberFormat="1" applyFont="1" applyBorder="1" applyAlignment="1">
      <alignment horizontal="center" vertical="center"/>
    </xf>
    <xf numFmtId="49" fontId="4" fillId="0" borderId="2" xfId="0" applyNumberFormat="1" applyFont="1" applyBorder="1" applyAlignment="1">
      <alignment horizontal="center" vertical="center" wrapText="1"/>
    </xf>
    <xf numFmtId="164" fontId="7" fillId="0" borderId="0" xfId="1" applyNumberFormat="1" applyFont="1" applyFill="1" applyAlignment="1">
      <alignment horizontal="center" vertical="center" wrapText="1"/>
    </xf>
    <xf numFmtId="2" fontId="5" fillId="0" borderId="2" xfId="0" applyNumberFormat="1" applyFont="1" applyBorder="1" applyAlignment="1">
      <alignment horizontal="center" vertical="center"/>
    </xf>
    <xf numFmtId="0" fontId="4" fillId="0" borderId="0" xfId="1" applyNumberFormat="1" applyFont="1" applyFill="1" applyAlignment="1">
      <alignment horizontal="center" vertical="center"/>
    </xf>
    <xf numFmtId="165" fontId="4" fillId="0" borderId="0" xfId="1" applyNumberFormat="1" applyFont="1" applyFill="1" applyBorder="1" applyAlignment="1">
      <alignment horizontal="center" vertical="center"/>
    </xf>
    <xf numFmtId="166" fontId="4" fillId="0" borderId="2" xfId="0" applyNumberFormat="1" applyFont="1" applyBorder="1" applyAlignment="1">
      <alignment horizontal="center" vertical="center"/>
    </xf>
    <xf numFmtId="1" fontId="5" fillId="0" borderId="1" xfId="0" applyNumberFormat="1" applyFont="1" applyBorder="1" applyAlignment="1">
      <alignment horizontal="center" vertical="center"/>
    </xf>
    <xf numFmtId="0" fontId="4" fillId="0" borderId="0" xfId="0" applyFont="1" applyAlignment="1">
      <alignment horizontal="center" vertical="center" wrapText="1"/>
    </xf>
    <xf numFmtId="0" fontId="10" fillId="6" borderId="7" xfId="0" applyFont="1" applyFill="1" applyBorder="1"/>
    <xf numFmtId="0" fontId="16" fillId="0" borderId="7" xfId="0" applyFont="1" applyBorder="1" applyAlignment="1">
      <alignment horizontal="center" vertical="center"/>
    </xf>
    <xf numFmtId="0" fontId="16" fillId="0" borderId="7" xfId="0" applyFont="1" applyBorder="1" applyAlignment="1">
      <alignment horizontal="center" vertical="center" wrapText="1"/>
    </xf>
    <xf numFmtId="0" fontId="16" fillId="0" borderId="7" xfId="0" applyFont="1" applyBorder="1"/>
    <xf numFmtId="168" fontId="10" fillId="0" borderId="7" xfId="0" applyNumberFormat="1" applyFont="1" applyBorder="1" applyAlignment="1">
      <alignment horizontal="center" vertical="center"/>
    </xf>
    <xf numFmtId="0" fontId="8" fillId="0" borderId="6" xfId="0" applyFont="1" applyBorder="1" applyAlignment="1">
      <alignment horizontal="center" vertical="center"/>
    </xf>
    <xf numFmtId="43" fontId="4" fillId="0" borderId="6" xfId="0" applyNumberFormat="1" applyFont="1" applyBorder="1" applyAlignment="1">
      <alignment horizontal="center" vertical="center"/>
    </xf>
    <xf numFmtId="43" fontId="4" fillId="0" borderId="6" xfId="0" applyNumberFormat="1" applyFont="1" applyBorder="1" applyAlignment="1">
      <alignment vertical="center"/>
    </xf>
    <xf numFmtId="165" fontId="6" fillId="0" borderId="1" xfId="0" applyNumberFormat="1" applyFont="1" applyBorder="1" applyAlignment="1">
      <alignment horizontal="center" vertical="center"/>
    </xf>
    <xf numFmtId="43" fontId="6" fillId="0" borderId="1" xfId="0" applyNumberFormat="1" applyFont="1" applyBorder="1" applyAlignment="1">
      <alignment vertical="center"/>
    </xf>
    <xf numFmtId="10" fontId="4" fillId="0" borderId="2" xfId="0" applyNumberFormat="1" applyFont="1" applyBorder="1" applyAlignment="1">
      <alignment horizontal="center" vertical="center"/>
    </xf>
    <xf numFmtId="168" fontId="6" fillId="0" borderId="0" xfId="0" applyNumberFormat="1" applyFont="1" applyAlignment="1">
      <alignment horizontal="center" vertical="center"/>
    </xf>
    <xf numFmtId="168" fontId="6" fillId="0" borderId="1" xfId="0" applyNumberFormat="1" applyFont="1" applyBorder="1" applyAlignment="1">
      <alignment horizontal="center" vertical="center"/>
    </xf>
    <xf numFmtId="168" fontId="6" fillId="7" borderId="1" xfId="0" applyNumberFormat="1" applyFont="1" applyFill="1" applyBorder="1" applyAlignment="1">
      <alignment horizontal="center" vertical="center"/>
    </xf>
    <xf numFmtId="168" fontId="6" fillId="7" borderId="0" xfId="0" applyNumberFormat="1" applyFont="1" applyFill="1" applyAlignment="1">
      <alignment horizontal="center" vertical="center"/>
    </xf>
    <xf numFmtId="0" fontId="17" fillId="0" borderId="0" xfId="0" applyFont="1" applyAlignment="1">
      <alignment vertical="center"/>
    </xf>
    <xf numFmtId="2" fontId="0" fillId="0" borderId="0" xfId="0" applyNumberFormat="1" applyAlignment="1">
      <alignment vertical="center"/>
    </xf>
    <xf numFmtId="43" fontId="0" fillId="0" borderId="0" xfId="0" applyNumberFormat="1" applyAlignment="1">
      <alignment vertical="center"/>
    </xf>
    <xf numFmtId="166" fontId="0" fillId="0" borderId="0" xfId="0" applyNumberFormat="1" applyAlignment="1">
      <alignment vertical="center"/>
    </xf>
    <xf numFmtId="0" fontId="0" fillId="0" borderId="2" xfId="0" applyBorder="1" applyAlignment="1">
      <alignment horizontal="left" vertical="center"/>
    </xf>
    <xf numFmtId="43" fontId="0" fillId="0" borderId="2" xfId="0" applyNumberFormat="1" applyBorder="1" applyAlignment="1">
      <alignment vertical="center"/>
    </xf>
    <xf numFmtId="0" fontId="0" fillId="0" borderId="2" xfId="0" applyBorder="1" applyAlignment="1">
      <alignment vertical="center"/>
    </xf>
    <xf numFmtId="2" fontId="0" fillId="0" borderId="2" xfId="0" applyNumberFormat="1" applyBorder="1" applyAlignment="1">
      <alignment vertical="center"/>
    </xf>
    <xf numFmtId="0" fontId="0" fillId="0" borderId="6" xfId="0" applyBorder="1" applyAlignment="1">
      <alignment vertical="center"/>
    </xf>
    <xf numFmtId="49" fontId="6" fillId="0" borderId="0" xfId="0" applyNumberFormat="1" applyFont="1" applyAlignment="1">
      <alignment horizontal="center" vertical="center"/>
    </xf>
    <xf numFmtId="0" fontId="6" fillId="0" borderId="0" xfId="0" applyFont="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KPI Comparison Baseload Units</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FY 23-24</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'Metrics ACUM (OMC)'!$AB$26:$AB$31</c:f>
              <c:numCache>
                <c:formatCode>General</c:formatCode>
                <c:ptCount val="6"/>
              </c:numCache>
            </c:numRef>
          </c:cat>
          <c:val>
            <c:numRef>
              <c:f>'Metrics ACUM (OMC)'!$AC$26:$AC$31</c:f>
              <c:numCache>
                <c:formatCode>0</c:formatCode>
                <c:ptCount val="6"/>
              </c:numCache>
            </c:numRef>
          </c:val>
          <c:extLst>
            <c:ext xmlns:c16="http://schemas.microsoft.com/office/drawing/2014/chart" uri="{C3380CC4-5D6E-409C-BE32-E72D297353CC}">
              <c16:uniqueId val="{00000000-9AEF-4306-922C-E2D4740C9216}"/>
            </c:ext>
          </c:extLst>
        </c:ser>
        <c:ser>
          <c:idx val="1"/>
          <c:order val="1"/>
          <c:tx>
            <c:v>FY 24-25</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'Metrics ACUM (OMC)'!$AB$26:$AB$31</c:f>
              <c:numCache>
                <c:formatCode>General</c:formatCode>
                <c:ptCount val="6"/>
              </c:numCache>
            </c:numRef>
          </c:cat>
          <c:val>
            <c:numRef>
              <c:f>'Metrics ACUM (OMC)'!$AD$26:$AD$31</c:f>
              <c:numCache>
                <c:formatCode>0</c:formatCode>
                <c:ptCount val="6"/>
              </c:numCache>
            </c:numRef>
          </c:val>
          <c:extLst>
            <c:ext xmlns:c16="http://schemas.microsoft.com/office/drawing/2014/chart" uri="{C3380CC4-5D6E-409C-BE32-E72D297353CC}">
              <c16:uniqueId val="{00000001-9AEF-4306-922C-E2D4740C9216}"/>
            </c:ext>
          </c:extLst>
        </c:ser>
        <c:dLbls>
          <c:showLegendKey val="0"/>
          <c:showVal val="0"/>
          <c:showCatName val="0"/>
          <c:showSerName val="0"/>
          <c:showPercent val="0"/>
          <c:showBubbleSize val="0"/>
        </c:dLbls>
        <c:gapWidth val="219"/>
        <c:overlap val="-27"/>
        <c:axId val="643870727"/>
        <c:axId val="643872775"/>
      </c:barChart>
      <c:catAx>
        <c:axId val="643870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872775"/>
        <c:crosses val="autoZero"/>
        <c:auto val="1"/>
        <c:lblAlgn val="ctr"/>
        <c:lblOffset val="100"/>
        <c:noMultiLvlLbl val="0"/>
      </c:catAx>
      <c:valAx>
        <c:axId val="643872775"/>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870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61</xdr:col>
      <xdr:colOff>276225</xdr:colOff>
      <xdr:row>38</xdr:row>
      <xdr:rowOff>0</xdr:rowOff>
    </xdr:from>
    <xdr:to>
      <xdr:col>69</xdr:col>
      <xdr:colOff>9525</xdr:colOff>
      <xdr:row>51</xdr:row>
      <xdr:rowOff>142875</xdr:rowOff>
    </xdr:to>
    <xdr:graphicFrame macro="">
      <xdr:nvGraphicFramePr>
        <xdr:cNvPr id="5" name="Chart 4">
          <a:extLst>
            <a:ext uri="{FF2B5EF4-FFF2-40B4-BE49-F238E27FC236}">
              <a16:creationId xmlns:a16="http://schemas.microsoft.com/office/drawing/2014/main" id="{99C1687C-DF67-4E37-B15F-01C3938ABE42}"/>
            </a:ext>
            <a:ext uri="{147F2762-F138-4A5C-976F-8EAC2B608ADB}">
              <a16:predDERef xmlns:a16="http://schemas.microsoft.com/office/drawing/2014/main" pred="{14730090-67E9-4CF5-ABFA-D831FE1066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B4344-FDE5-44EB-ADC0-F44A78338A13}">
  <sheetPr>
    <tabColor rgb="FF92D050"/>
  </sheetPr>
  <dimension ref="A1:IF85"/>
  <sheetViews>
    <sheetView zoomScale="82" zoomScaleNormal="100" workbookViewId="0">
      <selection activeCell="A6" sqref="A6"/>
    </sheetView>
  </sheetViews>
  <sheetFormatPr defaultColWidth="8.7109375" defaultRowHeight="12.75" customHeight="1" x14ac:dyDescent="0.25"/>
  <cols>
    <col min="1" max="1" width="18.140625" style="8" bestFit="1" customWidth="1"/>
    <col min="2" max="2" width="10.5703125" style="8" bestFit="1" customWidth="1"/>
    <col min="3" max="16" width="9.140625" style="8"/>
    <col min="17" max="17" width="12.140625" style="8" customWidth="1"/>
    <col min="18" max="18" width="15" style="8" bestFit="1" customWidth="1"/>
    <col min="19" max="19" width="10.7109375" style="8" customWidth="1"/>
    <col min="20" max="20" width="9.140625" style="8"/>
    <col min="21" max="21" width="18.140625" style="8" bestFit="1" customWidth="1"/>
    <col min="22" max="22" width="10.5703125" style="8" bestFit="1" customWidth="1"/>
    <col min="23" max="36" width="9.140625" style="8"/>
    <col min="37" max="37" width="11.7109375" style="8" customWidth="1"/>
    <col min="38" max="38" width="15" style="8" bestFit="1" customWidth="1"/>
    <col min="39" max="39" width="10.42578125" style="8" customWidth="1"/>
    <col min="40" max="40" width="9.140625" style="8"/>
    <col min="41" max="41" width="18.140625" style="8" bestFit="1" customWidth="1"/>
    <col min="42" max="42" width="10.5703125" style="8" bestFit="1" customWidth="1"/>
    <col min="43" max="54" width="9.140625" style="8"/>
    <col min="55" max="56" width="9.5703125" style="8" customWidth="1"/>
    <col min="57" max="57" width="11.85546875" style="8" customWidth="1"/>
    <col min="58" max="58" width="15" style="8" bestFit="1" customWidth="1"/>
    <col min="59" max="59" width="10.140625" style="8" customWidth="1"/>
    <col min="60" max="60" width="9.140625" style="8"/>
    <col min="61" max="61" width="18.140625" style="8" bestFit="1" customWidth="1"/>
    <col min="62" max="62" width="10.5703125" style="8" bestFit="1" customWidth="1"/>
    <col min="63" max="76" width="9.140625" style="8"/>
    <col min="77" max="77" width="11.140625" style="8" customWidth="1"/>
    <col min="78" max="78" width="15" style="8" bestFit="1" customWidth="1"/>
    <col min="79" max="79" width="9.85546875" style="8" customWidth="1"/>
    <col min="80" max="80" width="9.140625" style="8"/>
    <col min="81" max="81" width="18.140625" style="8" bestFit="1" customWidth="1"/>
    <col min="82" max="82" width="10.5703125" style="8" bestFit="1" customWidth="1"/>
    <col min="83" max="83" width="6.85546875" style="8" bestFit="1" customWidth="1"/>
    <col min="84" max="84" width="9.140625" style="8" bestFit="1" customWidth="1"/>
    <col min="85" max="96" width="9.140625" style="8"/>
    <col min="97" max="97" width="12" style="8" customWidth="1"/>
    <col min="98" max="98" width="15" style="8" bestFit="1" customWidth="1"/>
    <col min="99" max="99" width="9.5703125" style="8" customWidth="1"/>
    <col min="100" max="100" width="9.140625" style="8"/>
    <col min="101" max="101" width="18.140625" style="8" bestFit="1" customWidth="1"/>
    <col min="102" max="102" width="10.5703125" style="8" bestFit="1" customWidth="1"/>
    <col min="103" max="109" width="9.140625" style="8"/>
    <col min="110" max="110" width="9.140625" style="8" bestFit="1" customWidth="1"/>
    <col min="111" max="116" width="9.140625" style="8"/>
    <col min="117" max="117" width="11.85546875" style="8" customWidth="1"/>
    <col min="118" max="118" width="13" style="8" bestFit="1" customWidth="1"/>
    <col min="119" max="119" width="9.85546875" style="8" customWidth="1"/>
    <col min="120" max="120" width="9.140625" style="8"/>
    <col min="121" max="121" width="18.140625" style="8" bestFit="1" customWidth="1"/>
    <col min="122" max="122" width="10.5703125" style="8" bestFit="1" customWidth="1"/>
    <col min="123" max="123" width="9.140625" style="8"/>
    <col min="124" max="124" width="9.140625" style="8" bestFit="1" customWidth="1"/>
    <col min="125" max="131" width="9.140625" style="8"/>
    <col min="132" max="132" width="9.140625" style="8" bestFit="1" customWidth="1"/>
    <col min="133" max="136" width="9.140625" style="8"/>
    <col min="137" max="137" width="14.140625" style="8" customWidth="1"/>
    <col min="138" max="138" width="13.42578125" style="8" customWidth="1"/>
    <col min="139" max="139" width="10.140625" style="8" customWidth="1"/>
    <col min="140" max="140" width="9.140625" style="8"/>
    <col min="141" max="141" width="18.140625" style="8" bestFit="1" customWidth="1"/>
    <col min="142" max="142" width="10.5703125" style="8" bestFit="1" customWidth="1"/>
    <col min="143" max="144" width="9.140625" style="8" bestFit="1" customWidth="1"/>
    <col min="145" max="156" width="9.140625" style="8"/>
    <col min="157" max="157" width="11.28515625" style="8" customWidth="1"/>
    <col min="158" max="158" width="12" style="8" customWidth="1"/>
    <col min="159" max="159" width="9.85546875" style="8" customWidth="1"/>
    <col min="160" max="160" width="9.140625" style="8"/>
    <col min="161" max="161" width="18.140625" style="8" bestFit="1" customWidth="1"/>
    <col min="162" max="162" width="10.5703125" style="8" bestFit="1" customWidth="1"/>
    <col min="163" max="163" width="9.140625" style="8"/>
    <col min="164" max="164" width="9.140625" style="8" bestFit="1" customWidth="1"/>
    <col min="165" max="176" width="9.140625" style="8"/>
    <col min="177" max="177" width="11.5703125" style="8" customWidth="1"/>
    <col min="178" max="178" width="12.42578125" style="8" customWidth="1"/>
    <col min="179" max="179" width="10" style="8" customWidth="1"/>
    <col min="180" max="180" width="9.140625" style="8"/>
    <col min="181" max="181" width="18.140625" style="8" bestFit="1" customWidth="1"/>
    <col min="182" max="182" width="10.5703125" style="8" bestFit="1" customWidth="1"/>
    <col min="183" max="184" width="9.140625" style="8" bestFit="1" customWidth="1"/>
    <col min="185" max="186" width="9.140625" style="8"/>
    <col min="187" max="187" width="9.85546875" style="8" bestFit="1" customWidth="1"/>
    <col min="188" max="189" width="9.140625" style="8"/>
    <col min="190" max="190" width="10.140625" style="8" bestFit="1" customWidth="1"/>
    <col min="191" max="196" width="9.140625" style="8"/>
    <col min="197" max="197" width="11.140625" style="8" customWidth="1"/>
    <col min="198" max="198" width="12.85546875" style="8" customWidth="1"/>
    <col min="199" max="199" width="10.28515625" style="8" customWidth="1"/>
    <col min="200" max="200" width="9.140625" style="8"/>
    <col min="201" max="201" width="18.140625" style="8" bestFit="1" customWidth="1"/>
    <col min="202" max="202" width="10.5703125" style="8" bestFit="1" customWidth="1"/>
    <col min="203" max="206" width="10.7109375" style="8" bestFit="1" customWidth="1"/>
    <col min="207" max="208" width="9.140625" style="8"/>
    <col min="209" max="209" width="7.42578125" style="8" bestFit="1" customWidth="1"/>
    <col min="210" max="210" width="6.85546875" style="8" customWidth="1"/>
    <col min="211" max="211" width="9.5703125" style="8" customWidth="1"/>
    <col min="212" max="214" width="9.140625" style="8"/>
    <col min="215" max="215" width="7.42578125" style="8" bestFit="1" customWidth="1"/>
    <col min="216" max="216" width="6.85546875" style="8" customWidth="1"/>
    <col min="217" max="217" width="11.7109375" style="8" customWidth="1"/>
    <col min="218" max="218" width="12" style="8" customWidth="1"/>
    <col min="219" max="219" width="9.7109375" style="8" customWidth="1"/>
    <col min="220" max="220" width="9.140625" style="8"/>
    <col min="221" max="221" width="18.140625" style="8" bestFit="1" customWidth="1"/>
    <col min="222" max="223" width="9.140625" style="8"/>
    <col min="224" max="224" width="8.85546875" style="8" bestFit="1" customWidth="1"/>
    <col min="225" max="225" width="9.140625" style="8"/>
    <col min="226" max="226" width="8.85546875" style="8" bestFit="1" customWidth="1"/>
    <col min="227" max="227" width="11.28515625" style="8" bestFit="1" customWidth="1"/>
    <col min="228" max="228" width="9.140625" style="8"/>
    <col min="229" max="229" width="8.85546875" style="8" bestFit="1" customWidth="1"/>
    <col min="230" max="230" width="9.140625" style="8"/>
    <col min="231" max="231" width="9.85546875" style="8" customWidth="1"/>
    <col min="232" max="232" width="11" style="8" customWidth="1"/>
    <col min="233" max="236" width="9.140625" style="8"/>
    <col min="237" max="237" width="12.28515625" style="8" customWidth="1"/>
    <col min="238" max="238" width="15" style="8" bestFit="1" customWidth="1"/>
    <col min="239" max="239" width="10.140625" style="8" customWidth="1"/>
    <col min="240" max="240" width="12.28515625" style="8" customWidth="1"/>
    <col min="241" max="241" width="9.140625" style="8"/>
    <col min="242" max="242" width="11.28515625" style="8" customWidth="1"/>
    <col min="243" max="16384" width="8.7109375" style="8"/>
  </cols>
  <sheetData>
    <row r="1" spans="1:240" ht="15" x14ac:dyDescent="0.25">
      <c r="F1" s="74"/>
      <c r="Z1" s="74"/>
      <c r="AT1" s="74"/>
      <c r="BN1" s="74"/>
      <c r="CH1" s="74"/>
      <c r="DB1" s="74"/>
      <c r="DV1" s="74"/>
      <c r="EP1" s="74"/>
      <c r="FJ1" s="74"/>
      <c r="GE1" s="74"/>
    </row>
    <row r="2" spans="1:240" ht="15" customHeight="1" x14ac:dyDescent="0.25">
      <c r="AO2" s="9"/>
      <c r="AP2" s="9"/>
      <c r="AQ2" s="9"/>
      <c r="AR2" s="9"/>
      <c r="AS2" s="9"/>
      <c r="AT2" s="9"/>
      <c r="AU2" s="9"/>
      <c r="AV2" s="9"/>
      <c r="AW2" s="9"/>
      <c r="AX2" s="9"/>
      <c r="AY2" s="9"/>
      <c r="AZ2" s="9"/>
      <c r="BA2" s="9"/>
      <c r="BB2" s="9"/>
      <c r="BC2" s="9"/>
      <c r="BD2" s="9"/>
    </row>
    <row r="3" spans="1:240" ht="12.95" customHeight="1" x14ac:dyDescent="0.25">
      <c r="A3" s="223" t="s">
        <v>0</v>
      </c>
      <c r="B3" s="223"/>
      <c r="C3" s="223"/>
      <c r="D3" s="223"/>
      <c r="E3" s="223"/>
      <c r="F3" s="223"/>
      <c r="G3" s="223"/>
      <c r="H3" s="223"/>
      <c r="I3" s="223"/>
      <c r="J3" s="223"/>
      <c r="K3" s="223"/>
      <c r="L3" s="223"/>
      <c r="M3" s="223"/>
      <c r="N3" s="223"/>
      <c r="O3" s="105"/>
      <c r="P3" s="105"/>
      <c r="Q3" s="105"/>
      <c r="U3" s="223" t="s">
        <v>1</v>
      </c>
      <c r="V3" s="223"/>
      <c r="W3" s="223"/>
      <c r="X3" s="223"/>
      <c r="Y3" s="223"/>
      <c r="Z3" s="223"/>
      <c r="AA3" s="223"/>
      <c r="AB3" s="223"/>
      <c r="AC3" s="223"/>
      <c r="AD3" s="223"/>
      <c r="AE3" s="223"/>
      <c r="AF3" s="223"/>
      <c r="AG3" s="223"/>
      <c r="AH3" s="223"/>
      <c r="AI3" s="223"/>
      <c r="AJ3" s="105"/>
      <c r="AK3" s="105"/>
      <c r="AO3" s="223" t="s">
        <v>2</v>
      </c>
      <c r="AP3" s="223"/>
      <c r="AQ3" s="223"/>
      <c r="AR3" s="223"/>
      <c r="AS3" s="223"/>
      <c r="AT3" s="223"/>
      <c r="AU3" s="223"/>
      <c r="AV3" s="223"/>
      <c r="AW3" s="223"/>
      <c r="AX3" s="223"/>
      <c r="AY3" s="223"/>
      <c r="AZ3" s="223"/>
      <c r="BA3" s="223"/>
      <c r="BB3" s="223"/>
      <c r="BC3" s="223"/>
      <c r="BD3" s="105"/>
      <c r="BI3" s="223" t="s">
        <v>3</v>
      </c>
      <c r="BJ3" s="223"/>
      <c r="BK3" s="223"/>
      <c r="BL3" s="223"/>
      <c r="BM3" s="223"/>
      <c r="BN3" s="223"/>
      <c r="BO3" s="223"/>
      <c r="BP3" s="223"/>
      <c r="BQ3" s="223"/>
      <c r="BR3" s="223"/>
      <c r="BS3" s="223"/>
      <c r="BT3" s="223"/>
      <c r="BU3" s="223"/>
      <c r="BV3" s="223"/>
      <c r="BW3" s="223"/>
      <c r="BX3" s="105"/>
      <c r="CC3" s="223" t="s">
        <v>4</v>
      </c>
      <c r="CD3" s="223"/>
      <c r="CE3" s="223"/>
      <c r="CF3" s="223"/>
      <c r="CG3" s="223"/>
      <c r="CH3" s="223"/>
      <c r="CI3" s="223"/>
      <c r="CJ3" s="223"/>
      <c r="CK3" s="223"/>
      <c r="CL3" s="223"/>
      <c r="CM3" s="223"/>
      <c r="CN3" s="223"/>
      <c r="CO3" s="223"/>
      <c r="CP3" s="223"/>
      <c r="CQ3" s="223"/>
      <c r="CR3" s="105"/>
      <c r="CW3" s="223" t="s">
        <v>5</v>
      </c>
      <c r="CX3" s="223"/>
      <c r="CY3" s="223"/>
      <c r="CZ3" s="223"/>
      <c r="DA3" s="223"/>
      <c r="DB3" s="223"/>
      <c r="DC3" s="223"/>
      <c r="DD3" s="223"/>
      <c r="DE3" s="223"/>
      <c r="DF3" s="223"/>
      <c r="DG3" s="223"/>
      <c r="DH3" s="223"/>
      <c r="DI3" s="223"/>
      <c r="DJ3" s="223"/>
      <c r="DK3" s="223"/>
      <c r="DL3" s="105"/>
      <c r="DQ3" s="223" t="s">
        <v>6</v>
      </c>
      <c r="DR3" s="223"/>
      <c r="DS3" s="223"/>
      <c r="DT3" s="223"/>
      <c r="DU3" s="223"/>
      <c r="DV3" s="223"/>
      <c r="DW3" s="223"/>
      <c r="DX3" s="223"/>
      <c r="DY3" s="223"/>
      <c r="DZ3" s="223"/>
      <c r="EA3" s="223"/>
      <c r="EB3" s="223"/>
      <c r="EC3" s="223"/>
      <c r="ED3" s="223"/>
      <c r="EE3" s="223"/>
      <c r="EF3" s="105"/>
      <c r="EK3" s="223" t="s">
        <v>7</v>
      </c>
      <c r="EL3" s="223"/>
      <c r="EM3" s="223"/>
      <c r="EN3" s="223"/>
      <c r="EO3" s="223"/>
      <c r="EP3" s="223"/>
      <c r="EQ3" s="223"/>
      <c r="ER3" s="223"/>
      <c r="ES3" s="223"/>
      <c r="ET3" s="223"/>
      <c r="EU3" s="223"/>
      <c r="EV3" s="223"/>
      <c r="EW3" s="223"/>
      <c r="EX3" s="223"/>
      <c r="EY3" s="223"/>
      <c r="EZ3" s="105"/>
      <c r="FE3" s="223" t="s">
        <v>8</v>
      </c>
      <c r="FF3" s="223"/>
      <c r="FG3" s="223"/>
      <c r="FH3" s="223"/>
      <c r="FI3" s="223"/>
      <c r="FJ3" s="223"/>
      <c r="FK3" s="223"/>
      <c r="FL3" s="223"/>
      <c r="FM3" s="223"/>
      <c r="FN3" s="223"/>
      <c r="FO3" s="223"/>
      <c r="FP3" s="223"/>
      <c r="FQ3" s="223"/>
      <c r="FR3" s="223"/>
      <c r="FS3" s="223"/>
      <c r="FT3" s="105"/>
      <c r="FY3" s="223" t="s">
        <v>9</v>
      </c>
      <c r="FZ3" s="223"/>
      <c r="GA3" s="223"/>
      <c r="GB3" s="223"/>
      <c r="GC3" s="223"/>
      <c r="GD3" s="223"/>
      <c r="GE3" s="223"/>
      <c r="GF3" s="223"/>
      <c r="GG3" s="223"/>
      <c r="GH3" s="223"/>
      <c r="GI3" s="223"/>
      <c r="GJ3" s="223"/>
      <c r="GK3" s="223"/>
      <c r="GL3" s="223"/>
      <c r="GM3" s="223"/>
      <c r="GN3" s="105"/>
      <c r="GS3" s="223" t="s">
        <v>10</v>
      </c>
      <c r="GT3" s="223"/>
      <c r="GU3" s="223"/>
      <c r="GV3" s="223"/>
      <c r="GW3" s="223"/>
      <c r="GX3" s="223"/>
      <c r="GY3" s="223"/>
      <c r="GZ3" s="223"/>
      <c r="HA3" s="223"/>
      <c r="HB3" s="223"/>
      <c r="HC3" s="223"/>
      <c r="HD3" s="223"/>
      <c r="HE3" s="223"/>
      <c r="HF3" s="223"/>
      <c r="HG3" s="223"/>
      <c r="HH3" s="105"/>
      <c r="HM3" s="223" t="s">
        <v>11</v>
      </c>
      <c r="HN3" s="223"/>
      <c r="HO3" s="223"/>
      <c r="HP3" s="223"/>
      <c r="HQ3" s="223"/>
      <c r="HR3" s="223"/>
      <c r="HS3" s="223"/>
      <c r="HT3" s="223"/>
      <c r="HU3" s="223"/>
      <c r="HV3" s="223"/>
      <c r="HW3" s="223"/>
      <c r="HX3" s="223"/>
      <c r="HY3" s="223"/>
      <c r="HZ3" s="223"/>
      <c r="IA3" s="223"/>
      <c r="IB3" s="105"/>
    </row>
    <row r="4" spans="1:240" ht="15" x14ac:dyDescent="0.25">
      <c r="A4" s="74" t="s">
        <v>12</v>
      </c>
      <c r="B4" s="8">
        <v>744</v>
      </c>
      <c r="C4" s="74"/>
      <c r="D4" s="74"/>
      <c r="E4" s="74"/>
      <c r="F4" s="74"/>
      <c r="G4" s="74"/>
      <c r="H4" s="74"/>
      <c r="I4" s="74"/>
      <c r="J4" s="74"/>
      <c r="K4" s="74"/>
      <c r="L4" s="74"/>
      <c r="M4" s="74"/>
      <c r="N4" s="74"/>
      <c r="O4" s="74"/>
      <c r="P4" s="74"/>
      <c r="Q4" s="74"/>
      <c r="U4" s="74" t="s">
        <v>12</v>
      </c>
      <c r="V4" s="8">
        <v>744</v>
      </c>
      <c r="W4" s="74"/>
      <c r="X4" s="74"/>
      <c r="Y4" s="74"/>
      <c r="Z4" s="74"/>
      <c r="AA4" s="74"/>
      <c r="AB4" s="74"/>
      <c r="AC4" s="74"/>
      <c r="AD4" s="74"/>
      <c r="AE4" s="74"/>
      <c r="AF4" s="74"/>
      <c r="AG4" s="74"/>
      <c r="AH4" s="74"/>
      <c r="AI4" s="74"/>
      <c r="AJ4" s="74"/>
      <c r="AK4" s="74"/>
      <c r="AO4" s="74" t="s">
        <v>12</v>
      </c>
      <c r="AP4" s="8">
        <v>720</v>
      </c>
      <c r="AQ4" s="74"/>
      <c r="AR4" s="74"/>
      <c r="AS4" s="74"/>
      <c r="AT4" s="74"/>
      <c r="AU4" s="74"/>
      <c r="AV4" s="74"/>
      <c r="AW4" s="74"/>
      <c r="AX4" s="74"/>
      <c r="AY4" s="74"/>
      <c r="AZ4" s="74"/>
      <c r="BA4" s="74"/>
      <c r="BB4" s="74"/>
      <c r="BC4" s="74"/>
      <c r="BD4" s="74"/>
      <c r="BI4" s="74" t="s">
        <v>12</v>
      </c>
      <c r="BJ4" s="8">
        <v>744</v>
      </c>
      <c r="BK4" s="74"/>
      <c r="BL4" s="74"/>
      <c r="BM4" s="74"/>
      <c r="BN4" s="74"/>
      <c r="BO4" s="74"/>
      <c r="BP4" s="74"/>
      <c r="BQ4" s="74"/>
      <c r="BR4" s="74"/>
      <c r="BS4" s="74"/>
      <c r="BT4" s="74"/>
      <c r="BU4" s="74"/>
      <c r="BV4" s="74"/>
      <c r="BW4" s="74"/>
      <c r="BX4" s="74"/>
      <c r="CC4" s="74" t="s">
        <v>12</v>
      </c>
      <c r="CD4" s="8">
        <v>720</v>
      </c>
      <c r="CE4" s="74"/>
      <c r="CF4" s="74"/>
      <c r="CG4" s="74"/>
      <c r="CH4" s="74"/>
      <c r="CI4" s="74"/>
      <c r="CJ4" s="74"/>
      <c r="CK4" s="74"/>
      <c r="CL4" s="74"/>
      <c r="CM4" s="74"/>
      <c r="CN4" s="74"/>
      <c r="CO4" s="74"/>
      <c r="CP4" s="74"/>
      <c r="CQ4" s="74"/>
      <c r="CR4" s="74"/>
      <c r="CW4" s="74" t="s">
        <v>12</v>
      </c>
      <c r="CX4" s="8">
        <v>744</v>
      </c>
      <c r="CY4" s="74"/>
      <c r="CZ4" s="74"/>
      <c r="DA4" s="74"/>
      <c r="DB4" s="74"/>
      <c r="DC4" s="74"/>
      <c r="DD4" s="74"/>
      <c r="DE4" s="74"/>
      <c r="DF4" s="74"/>
      <c r="DG4" s="74"/>
      <c r="DH4" s="74"/>
      <c r="DI4" s="74"/>
      <c r="DJ4" s="74"/>
      <c r="DK4" s="74"/>
      <c r="DL4" s="74"/>
      <c r="DQ4" s="74" t="s">
        <v>12</v>
      </c>
      <c r="DR4" s="8">
        <v>744</v>
      </c>
      <c r="DS4" s="74"/>
      <c r="DT4" s="74"/>
      <c r="DU4" s="74"/>
      <c r="DV4" s="74"/>
      <c r="DW4" s="74"/>
      <c r="DX4" s="74"/>
      <c r="DY4" s="74"/>
      <c r="DZ4" s="74"/>
      <c r="EA4" s="74"/>
      <c r="EB4" s="74"/>
      <c r="EC4" s="74"/>
      <c r="ED4" s="74"/>
      <c r="EE4" s="74"/>
      <c r="EF4" s="74"/>
      <c r="EK4" s="74" t="s">
        <v>12</v>
      </c>
      <c r="EL4" s="8">
        <v>672</v>
      </c>
      <c r="EM4" s="74"/>
      <c r="EN4" s="74"/>
      <c r="EO4" s="74"/>
      <c r="EP4" s="74"/>
      <c r="EQ4" s="74"/>
      <c r="ER4" s="74"/>
      <c r="ES4" s="74"/>
      <c r="ET4" s="74"/>
      <c r="EU4" s="74"/>
      <c r="EV4" s="74"/>
      <c r="EW4" s="74"/>
      <c r="EX4" s="74"/>
      <c r="EY4" s="74"/>
      <c r="EZ4" s="74"/>
      <c r="FE4" s="74" t="s">
        <v>12</v>
      </c>
      <c r="FF4" s="8">
        <v>744</v>
      </c>
      <c r="FG4" s="74"/>
      <c r="FH4" s="74"/>
      <c r="FI4" s="74"/>
      <c r="FJ4" s="74"/>
      <c r="FK4" s="74"/>
      <c r="FL4" s="74"/>
      <c r="FM4" s="74"/>
      <c r="FN4" s="74"/>
      <c r="FO4" s="74"/>
      <c r="FP4" s="74"/>
      <c r="FQ4" s="74"/>
      <c r="FR4" s="74"/>
      <c r="FS4" s="74"/>
      <c r="FT4" s="74"/>
      <c r="FY4" s="74" t="s">
        <v>12</v>
      </c>
      <c r="FZ4" s="8">
        <v>720</v>
      </c>
      <c r="GA4" s="74"/>
      <c r="GB4" s="74"/>
      <c r="GC4" s="74"/>
      <c r="GD4" s="74"/>
      <c r="GE4" s="74"/>
      <c r="GF4" s="74"/>
      <c r="GG4" s="74"/>
      <c r="GH4" s="74"/>
      <c r="GI4" s="74"/>
      <c r="GJ4" s="74"/>
      <c r="GK4" s="74"/>
      <c r="GL4" s="74"/>
      <c r="GM4" s="74"/>
      <c r="GN4" s="74"/>
      <c r="GS4" s="74" t="s">
        <v>12</v>
      </c>
      <c r="GT4" s="8">
        <v>744</v>
      </c>
      <c r="GU4" s="74"/>
      <c r="GV4" s="74"/>
      <c r="GW4" s="74"/>
      <c r="GX4" s="74"/>
      <c r="GY4" s="74"/>
      <c r="GZ4" s="74"/>
      <c r="HA4" s="74"/>
      <c r="HB4" s="74"/>
      <c r="HC4" s="74"/>
      <c r="HD4" s="74"/>
      <c r="HE4" s="74"/>
      <c r="HF4" s="74"/>
      <c r="HG4" s="74"/>
      <c r="HH4" s="74"/>
      <c r="HM4" s="74" t="s">
        <v>12</v>
      </c>
      <c r="HN4" s="8">
        <v>720</v>
      </c>
      <c r="HO4" s="74"/>
      <c r="HP4" s="74"/>
      <c r="HQ4" s="74"/>
      <c r="HR4" s="74"/>
      <c r="HS4" s="74"/>
      <c r="HT4" s="74"/>
      <c r="HU4" s="74"/>
      <c r="HV4" s="74"/>
      <c r="HW4" s="74"/>
      <c r="HX4" s="74"/>
      <c r="HY4" s="74"/>
      <c r="HZ4" s="74"/>
      <c r="IA4" s="74"/>
      <c r="IB4" s="74"/>
    </row>
    <row r="5" spans="1:240" ht="45" x14ac:dyDescent="0.25">
      <c r="A5" s="10" t="s">
        <v>13</v>
      </c>
      <c r="B5" s="11" t="s">
        <v>14</v>
      </c>
      <c r="C5" s="11" t="s">
        <v>15</v>
      </c>
      <c r="D5" s="11" t="s">
        <v>16</v>
      </c>
      <c r="E5" s="11" t="s">
        <v>17</v>
      </c>
      <c r="F5" s="11" t="s">
        <v>18</v>
      </c>
      <c r="G5" s="11" t="s">
        <v>19</v>
      </c>
      <c r="H5" s="11" t="s">
        <v>20</v>
      </c>
      <c r="I5" s="11" t="s">
        <v>21</v>
      </c>
      <c r="J5" s="11" t="s">
        <v>22</v>
      </c>
      <c r="K5" s="11" t="s">
        <v>23</v>
      </c>
      <c r="L5" s="11" t="s">
        <v>24</v>
      </c>
      <c r="M5" s="11" t="s">
        <v>25</v>
      </c>
      <c r="N5" s="11" t="s">
        <v>26</v>
      </c>
      <c r="O5" s="11" t="s">
        <v>27</v>
      </c>
      <c r="P5" s="12" t="s">
        <v>28</v>
      </c>
      <c r="Q5" s="66" t="s">
        <v>29</v>
      </c>
      <c r="R5" s="192" t="s">
        <v>30</v>
      </c>
      <c r="S5" s="14" t="s">
        <v>31</v>
      </c>
      <c r="U5" s="10" t="s">
        <v>13</v>
      </c>
      <c r="V5" s="11" t="s">
        <v>14</v>
      </c>
      <c r="W5" s="11" t="s">
        <v>15</v>
      </c>
      <c r="X5" s="11" t="s">
        <v>16</v>
      </c>
      <c r="Y5" s="11" t="s">
        <v>17</v>
      </c>
      <c r="Z5" s="11" t="s">
        <v>18</v>
      </c>
      <c r="AA5" s="11" t="s">
        <v>19</v>
      </c>
      <c r="AB5" s="11" t="s">
        <v>20</v>
      </c>
      <c r="AC5" s="11" t="s">
        <v>21</v>
      </c>
      <c r="AD5" s="11" t="s">
        <v>22</v>
      </c>
      <c r="AE5" s="11" t="s">
        <v>23</v>
      </c>
      <c r="AF5" s="11" t="s">
        <v>24</v>
      </c>
      <c r="AG5" s="11" t="s">
        <v>25</v>
      </c>
      <c r="AH5" s="11" t="s">
        <v>26</v>
      </c>
      <c r="AI5" s="11" t="s">
        <v>27</v>
      </c>
      <c r="AJ5" s="12" t="s">
        <v>28</v>
      </c>
      <c r="AK5" s="66" t="s">
        <v>29</v>
      </c>
      <c r="AL5" s="192" t="s">
        <v>30</v>
      </c>
      <c r="AM5" s="14" t="s">
        <v>31</v>
      </c>
      <c r="AO5" s="10" t="s">
        <v>13</v>
      </c>
      <c r="AP5" s="11" t="s">
        <v>14</v>
      </c>
      <c r="AQ5" s="11" t="s">
        <v>15</v>
      </c>
      <c r="AR5" s="11" t="s">
        <v>16</v>
      </c>
      <c r="AS5" s="11" t="s">
        <v>17</v>
      </c>
      <c r="AT5" s="11" t="s">
        <v>18</v>
      </c>
      <c r="AU5" s="11" t="s">
        <v>19</v>
      </c>
      <c r="AV5" s="11" t="s">
        <v>20</v>
      </c>
      <c r="AW5" s="11" t="s">
        <v>21</v>
      </c>
      <c r="AX5" s="11" t="s">
        <v>22</v>
      </c>
      <c r="AY5" s="11" t="s">
        <v>23</v>
      </c>
      <c r="AZ5" s="11" t="s">
        <v>24</v>
      </c>
      <c r="BA5" s="11" t="s">
        <v>25</v>
      </c>
      <c r="BB5" s="11" t="s">
        <v>26</v>
      </c>
      <c r="BC5" s="11" t="s">
        <v>27</v>
      </c>
      <c r="BD5" s="12" t="s">
        <v>28</v>
      </c>
      <c r="BE5" s="66" t="s">
        <v>29</v>
      </c>
      <c r="BF5" s="192" t="s">
        <v>30</v>
      </c>
      <c r="BG5" s="14" t="s">
        <v>31</v>
      </c>
      <c r="BI5" s="10" t="s">
        <v>13</v>
      </c>
      <c r="BJ5" s="11" t="s">
        <v>14</v>
      </c>
      <c r="BK5" s="11" t="s">
        <v>15</v>
      </c>
      <c r="BL5" s="11" t="s">
        <v>16</v>
      </c>
      <c r="BM5" s="11" t="s">
        <v>17</v>
      </c>
      <c r="BN5" s="11" t="s">
        <v>18</v>
      </c>
      <c r="BO5" s="11" t="s">
        <v>19</v>
      </c>
      <c r="BP5" s="11" t="s">
        <v>20</v>
      </c>
      <c r="BQ5" s="11" t="s">
        <v>21</v>
      </c>
      <c r="BR5" s="11" t="s">
        <v>22</v>
      </c>
      <c r="BS5" s="11" t="s">
        <v>23</v>
      </c>
      <c r="BT5" s="11" t="s">
        <v>24</v>
      </c>
      <c r="BU5" s="11" t="s">
        <v>25</v>
      </c>
      <c r="BV5" s="11" t="s">
        <v>26</v>
      </c>
      <c r="BW5" s="11" t="s">
        <v>27</v>
      </c>
      <c r="BX5" s="12" t="s">
        <v>28</v>
      </c>
      <c r="BY5" s="66" t="s">
        <v>29</v>
      </c>
      <c r="BZ5" s="192" t="s">
        <v>30</v>
      </c>
      <c r="CA5" s="14" t="s">
        <v>31</v>
      </c>
      <c r="CC5" s="10" t="s">
        <v>13</v>
      </c>
      <c r="CD5" s="11" t="s">
        <v>14</v>
      </c>
      <c r="CE5" s="11" t="s">
        <v>15</v>
      </c>
      <c r="CF5" s="11" t="s">
        <v>16</v>
      </c>
      <c r="CG5" s="11" t="s">
        <v>17</v>
      </c>
      <c r="CH5" s="11" t="s">
        <v>18</v>
      </c>
      <c r="CI5" s="11" t="s">
        <v>19</v>
      </c>
      <c r="CJ5" s="11" t="s">
        <v>20</v>
      </c>
      <c r="CK5" s="11" t="s">
        <v>21</v>
      </c>
      <c r="CL5" s="11" t="s">
        <v>22</v>
      </c>
      <c r="CM5" s="11" t="s">
        <v>23</v>
      </c>
      <c r="CN5" s="11" t="s">
        <v>24</v>
      </c>
      <c r="CO5" s="11" t="s">
        <v>25</v>
      </c>
      <c r="CP5" s="11" t="s">
        <v>26</v>
      </c>
      <c r="CQ5" s="11" t="s">
        <v>27</v>
      </c>
      <c r="CR5" s="12" t="s">
        <v>28</v>
      </c>
      <c r="CS5" s="66" t="s">
        <v>29</v>
      </c>
      <c r="CT5" s="192" t="s">
        <v>30</v>
      </c>
      <c r="CU5" s="14" t="s">
        <v>31</v>
      </c>
      <c r="CW5" s="10" t="s">
        <v>13</v>
      </c>
      <c r="CX5" s="11" t="s">
        <v>14</v>
      </c>
      <c r="CY5" s="11" t="s">
        <v>15</v>
      </c>
      <c r="CZ5" s="11" t="s">
        <v>16</v>
      </c>
      <c r="DA5" s="11" t="s">
        <v>17</v>
      </c>
      <c r="DB5" s="11" t="s">
        <v>18</v>
      </c>
      <c r="DC5" s="11" t="s">
        <v>19</v>
      </c>
      <c r="DD5" s="11" t="s">
        <v>20</v>
      </c>
      <c r="DE5" s="11" t="s">
        <v>21</v>
      </c>
      <c r="DF5" s="11" t="s">
        <v>22</v>
      </c>
      <c r="DG5" s="11" t="s">
        <v>23</v>
      </c>
      <c r="DH5" s="11" t="s">
        <v>24</v>
      </c>
      <c r="DI5" s="11" t="s">
        <v>25</v>
      </c>
      <c r="DJ5" s="11" t="s">
        <v>26</v>
      </c>
      <c r="DK5" s="11" t="s">
        <v>27</v>
      </c>
      <c r="DL5" s="12" t="s">
        <v>28</v>
      </c>
      <c r="DM5" s="66" t="s">
        <v>29</v>
      </c>
      <c r="DN5" s="192" t="s">
        <v>30</v>
      </c>
      <c r="DO5" s="14" t="s">
        <v>31</v>
      </c>
      <c r="DQ5" s="10" t="s">
        <v>13</v>
      </c>
      <c r="DR5" s="11" t="s">
        <v>14</v>
      </c>
      <c r="DS5" s="11" t="s">
        <v>15</v>
      </c>
      <c r="DT5" s="11" t="s">
        <v>16</v>
      </c>
      <c r="DU5" s="11" t="s">
        <v>17</v>
      </c>
      <c r="DV5" s="11" t="s">
        <v>18</v>
      </c>
      <c r="DW5" s="11" t="s">
        <v>19</v>
      </c>
      <c r="DX5" s="11" t="s">
        <v>20</v>
      </c>
      <c r="DY5" s="11" t="s">
        <v>21</v>
      </c>
      <c r="DZ5" s="11" t="s">
        <v>22</v>
      </c>
      <c r="EA5" s="11" t="s">
        <v>23</v>
      </c>
      <c r="EB5" s="11" t="s">
        <v>24</v>
      </c>
      <c r="EC5" s="11" t="s">
        <v>25</v>
      </c>
      <c r="ED5" s="11" t="s">
        <v>26</v>
      </c>
      <c r="EE5" s="11" t="s">
        <v>27</v>
      </c>
      <c r="EF5" s="12" t="s">
        <v>28</v>
      </c>
      <c r="EG5" s="66" t="s">
        <v>29</v>
      </c>
      <c r="EH5" s="192" t="s">
        <v>30</v>
      </c>
      <c r="EI5" s="14" t="s">
        <v>31</v>
      </c>
      <c r="EK5" s="10" t="s">
        <v>13</v>
      </c>
      <c r="EL5" s="11" t="s">
        <v>14</v>
      </c>
      <c r="EM5" s="11" t="s">
        <v>15</v>
      </c>
      <c r="EN5" s="11" t="s">
        <v>16</v>
      </c>
      <c r="EO5" s="11" t="s">
        <v>17</v>
      </c>
      <c r="EP5" s="11" t="s">
        <v>18</v>
      </c>
      <c r="EQ5" s="11" t="s">
        <v>19</v>
      </c>
      <c r="ER5" s="11" t="s">
        <v>20</v>
      </c>
      <c r="ES5" s="11" t="s">
        <v>21</v>
      </c>
      <c r="ET5" s="11" t="s">
        <v>22</v>
      </c>
      <c r="EU5" s="11" t="s">
        <v>23</v>
      </c>
      <c r="EV5" s="11" t="s">
        <v>24</v>
      </c>
      <c r="EW5" s="11" t="s">
        <v>25</v>
      </c>
      <c r="EX5" s="11" t="s">
        <v>26</v>
      </c>
      <c r="EY5" s="11" t="s">
        <v>27</v>
      </c>
      <c r="EZ5" s="12" t="s">
        <v>28</v>
      </c>
      <c r="FA5" s="66" t="s">
        <v>29</v>
      </c>
      <c r="FB5" s="192" t="s">
        <v>30</v>
      </c>
      <c r="FC5" s="14" t="s">
        <v>31</v>
      </c>
      <c r="FE5" s="10" t="s">
        <v>13</v>
      </c>
      <c r="FF5" s="11" t="s">
        <v>14</v>
      </c>
      <c r="FG5" s="11" t="s">
        <v>15</v>
      </c>
      <c r="FH5" s="11" t="s">
        <v>16</v>
      </c>
      <c r="FI5" s="11" t="s">
        <v>17</v>
      </c>
      <c r="FJ5" s="11" t="s">
        <v>18</v>
      </c>
      <c r="FK5" s="11" t="s">
        <v>19</v>
      </c>
      <c r="FL5" s="11" t="s">
        <v>20</v>
      </c>
      <c r="FM5" s="11" t="s">
        <v>21</v>
      </c>
      <c r="FN5" s="11" t="s">
        <v>22</v>
      </c>
      <c r="FO5" s="11" t="s">
        <v>23</v>
      </c>
      <c r="FP5" s="11" t="s">
        <v>24</v>
      </c>
      <c r="FQ5" s="11" t="s">
        <v>25</v>
      </c>
      <c r="FR5" s="11" t="s">
        <v>26</v>
      </c>
      <c r="FS5" s="11" t="s">
        <v>27</v>
      </c>
      <c r="FT5" s="12" t="s">
        <v>28</v>
      </c>
      <c r="FU5" s="66" t="s">
        <v>29</v>
      </c>
      <c r="FV5" s="192" t="s">
        <v>30</v>
      </c>
      <c r="FW5" s="14" t="s">
        <v>31</v>
      </c>
      <c r="FY5" s="10" t="s">
        <v>13</v>
      </c>
      <c r="FZ5" s="11" t="s">
        <v>14</v>
      </c>
      <c r="GA5" s="11" t="s">
        <v>15</v>
      </c>
      <c r="GB5" s="11" t="s">
        <v>16</v>
      </c>
      <c r="GC5" s="11" t="s">
        <v>17</v>
      </c>
      <c r="GD5" s="11" t="s">
        <v>18</v>
      </c>
      <c r="GE5" s="11" t="s">
        <v>19</v>
      </c>
      <c r="GF5" s="11" t="s">
        <v>20</v>
      </c>
      <c r="GG5" s="11" t="s">
        <v>21</v>
      </c>
      <c r="GH5" s="11" t="s">
        <v>22</v>
      </c>
      <c r="GI5" s="11" t="s">
        <v>23</v>
      </c>
      <c r="GJ5" s="11" t="s">
        <v>24</v>
      </c>
      <c r="GK5" s="11" t="s">
        <v>25</v>
      </c>
      <c r="GL5" s="11" t="s">
        <v>26</v>
      </c>
      <c r="GM5" s="11" t="s">
        <v>27</v>
      </c>
      <c r="GN5" s="12" t="s">
        <v>28</v>
      </c>
      <c r="GO5" s="66" t="s">
        <v>29</v>
      </c>
      <c r="GP5" s="192" t="s">
        <v>30</v>
      </c>
      <c r="GQ5" s="14" t="s">
        <v>31</v>
      </c>
      <c r="GS5" s="10" t="s">
        <v>13</v>
      </c>
      <c r="GT5" s="11" t="s">
        <v>14</v>
      </c>
      <c r="GU5" s="11" t="s">
        <v>15</v>
      </c>
      <c r="GV5" s="11" t="s">
        <v>16</v>
      </c>
      <c r="GW5" s="11" t="s">
        <v>17</v>
      </c>
      <c r="GX5" s="11" t="s">
        <v>18</v>
      </c>
      <c r="GY5" s="11" t="s">
        <v>19</v>
      </c>
      <c r="GZ5" s="11" t="s">
        <v>20</v>
      </c>
      <c r="HA5" s="11" t="s">
        <v>21</v>
      </c>
      <c r="HB5" s="11" t="s">
        <v>22</v>
      </c>
      <c r="HC5" s="11" t="s">
        <v>23</v>
      </c>
      <c r="HD5" s="11" t="s">
        <v>24</v>
      </c>
      <c r="HE5" s="11" t="s">
        <v>25</v>
      </c>
      <c r="HF5" s="11" t="s">
        <v>26</v>
      </c>
      <c r="HG5" s="11" t="s">
        <v>27</v>
      </c>
      <c r="HH5" s="12" t="s">
        <v>28</v>
      </c>
      <c r="HI5" s="66" t="s">
        <v>29</v>
      </c>
      <c r="HJ5" s="192" t="s">
        <v>30</v>
      </c>
      <c r="HK5" s="14" t="s">
        <v>31</v>
      </c>
      <c r="HM5" s="10" t="s">
        <v>13</v>
      </c>
      <c r="HN5" s="11" t="s">
        <v>14</v>
      </c>
      <c r="HO5" s="11" t="s">
        <v>15</v>
      </c>
      <c r="HP5" s="11" t="s">
        <v>16</v>
      </c>
      <c r="HQ5" s="11" t="s">
        <v>17</v>
      </c>
      <c r="HR5" s="11" t="s">
        <v>18</v>
      </c>
      <c r="HS5" s="11" t="s">
        <v>19</v>
      </c>
      <c r="HT5" s="11" t="s">
        <v>20</v>
      </c>
      <c r="HU5" s="11" t="s">
        <v>21</v>
      </c>
      <c r="HV5" s="11" t="s">
        <v>22</v>
      </c>
      <c r="HW5" s="11" t="s">
        <v>23</v>
      </c>
      <c r="HX5" s="11" t="s">
        <v>24</v>
      </c>
      <c r="HY5" s="11" t="s">
        <v>25</v>
      </c>
      <c r="HZ5" s="11" t="s">
        <v>26</v>
      </c>
      <c r="IA5" s="11" t="s">
        <v>27</v>
      </c>
      <c r="IB5" s="12" t="s">
        <v>28</v>
      </c>
      <c r="IC5" s="66" t="s">
        <v>29</v>
      </c>
      <c r="ID5" s="192" t="s">
        <v>30</v>
      </c>
      <c r="IE5" s="14" t="s">
        <v>31</v>
      </c>
      <c r="IF5" s="66" t="s">
        <v>32</v>
      </c>
    </row>
    <row r="6" spans="1:240" ht="15" x14ac:dyDescent="0.25">
      <c r="A6" s="16" t="s">
        <v>33</v>
      </c>
      <c r="B6" s="17" t="s">
        <v>34</v>
      </c>
      <c r="C6" s="6">
        <v>725.2</v>
      </c>
      <c r="D6" s="6">
        <v>725.2</v>
      </c>
      <c r="E6" s="6">
        <v>0</v>
      </c>
      <c r="F6" s="8">
        <v>18.8</v>
      </c>
      <c r="G6" s="6">
        <f>(F6/$B$4)*100</f>
        <v>2.5268817204301075</v>
      </c>
      <c r="H6" s="8">
        <v>0</v>
      </c>
      <c r="I6" s="6">
        <f>(H6/$B$4)*100</f>
        <v>0</v>
      </c>
      <c r="J6" s="15">
        <v>0</v>
      </c>
      <c r="K6" s="6">
        <f>(J6/$B$4)*100</f>
        <v>0</v>
      </c>
      <c r="L6" s="8">
        <v>61</v>
      </c>
      <c r="M6" s="6">
        <f>(C6/$B$4)*100</f>
        <v>97.473118279569903</v>
      </c>
      <c r="N6" s="6">
        <f>((C6-L6)/$B$4)*100</f>
        <v>89.274193548387103</v>
      </c>
      <c r="O6" s="18">
        <f>IF((AND(D6=0,F6=0)),0,(F6+L6)/(D6+F6)*100)</f>
        <v>10.725806451612902</v>
      </c>
      <c r="P6" s="6">
        <f>(R6/($B$4*S6))*100</f>
        <v>80.318380376344095</v>
      </c>
      <c r="Q6" s="6">
        <f>SUM(D6:F6,H6,J6)</f>
        <v>744</v>
      </c>
      <c r="R6" s="86">
        <v>95611</v>
      </c>
      <c r="S6" s="20">
        <v>160</v>
      </c>
      <c r="U6" s="16" t="s">
        <v>33</v>
      </c>
      <c r="V6" s="17" t="s">
        <v>34</v>
      </c>
      <c r="W6" s="6">
        <f>$V$4-Z6-AB6-AD6</f>
        <v>732.1</v>
      </c>
      <c r="X6" s="8">
        <v>732.1</v>
      </c>
      <c r="Y6" s="8">
        <v>0</v>
      </c>
      <c r="Z6" s="8">
        <v>11.9</v>
      </c>
      <c r="AA6" s="6">
        <f>(Z6/$V$4)*100</f>
        <v>1.599462365591398</v>
      </c>
      <c r="AB6" s="8">
        <v>0</v>
      </c>
      <c r="AC6" s="6">
        <f>(AB6/$V$4)*100</f>
        <v>0</v>
      </c>
      <c r="AD6" s="6">
        <v>0</v>
      </c>
      <c r="AE6" s="6">
        <f>(AD6/$V$4)*100</f>
        <v>0</v>
      </c>
      <c r="AF6" s="8">
        <v>0</v>
      </c>
      <c r="AG6" s="6">
        <f>(W6/$V$4)*100</f>
        <v>98.400537634408607</v>
      </c>
      <c r="AH6" s="6">
        <f>((W6-AF6)/$V$4)*100</f>
        <v>98.400537634408607</v>
      </c>
      <c r="AI6" s="18">
        <f>IF((AND(X6=0,Z6=0)),0,(Z6+AF6)/(X6+Z6)*100)</f>
        <v>1.599462365591398</v>
      </c>
      <c r="AJ6" s="6">
        <f>(AL6/($V$4*AM6))*100</f>
        <v>80.62584005376344</v>
      </c>
      <c r="AK6" s="6">
        <f>SUM(X6:Z6,AB6,AD6)</f>
        <v>744</v>
      </c>
      <c r="AL6" s="86">
        <v>95977</v>
      </c>
      <c r="AM6" s="20">
        <v>160</v>
      </c>
      <c r="AO6" s="16" t="s">
        <v>33</v>
      </c>
      <c r="AP6" s="17" t="s">
        <v>34</v>
      </c>
      <c r="AQ6" s="8">
        <v>720</v>
      </c>
      <c r="AR6" s="8">
        <v>720</v>
      </c>
      <c r="AS6" s="8">
        <v>0</v>
      </c>
      <c r="AT6" s="8">
        <v>0</v>
      </c>
      <c r="AU6" s="6">
        <f>(AT6/$AP$4)*100</f>
        <v>0</v>
      </c>
      <c r="AV6" s="8">
        <v>0</v>
      </c>
      <c r="AW6" s="6">
        <f>(AV6/$AP$4)*100</f>
        <v>0</v>
      </c>
      <c r="AX6" s="6">
        <v>0</v>
      </c>
      <c r="AY6" s="6">
        <f>(AX6/$AP$4)*100</f>
        <v>0</v>
      </c>
      <c r="AZ6" s="8">
        <v>0</v>
      </c>
      <c r="BA6" s="6">
        <f>(AQ6/$AP$4)*100</f>
        <v>100</v>
      </c>
      <c r="BB6" s="6">
        <f>((AQ6-AZ6)/$AP$4)*100</f>
        <v>100</v>
      </c>
      <c r="BC6" s="18">
        <f>IF((AND(AR6=0,AT6=0)),0,(AT6+AZ6)/(AR6+AT6)*100)</f>
        <v>0</v>
      </c>
      <c r="BD6" s="6">
        <f>(BF6/($AP$4*BG6))*100</f>
        <v>86.2265625</v>
      </c>
      <c r="BE6" s="6">
        <f>SUM(AR6:AT6,AV6,AX6)</f>
        <v>720</v>
      </c>
      <c r="BF6" s="86">
        <v>99333</v>
      </c>
      <c r="BG6" s="20">
        <v>160</v>
      </c>
      <c r="BI6" s="16" t="s">
        <v>33</v>
      </c>
      <c r="BJ6" s="17" t="s">
        <v>34</v>
      </c>
      <c r="BK6" s="8">
        <v>693.1</v>
      </c>
      <c r="BL6" s="8">
        <v>693.1</v>
      </c>
      <c r="BM6" s="8">
        <v>0</v>
      </c>
      <c r="BN6" s="8">
        <v>5.0999999999999996</v>
      </c>
      <c r="BO6" s="6">
        <f>(BN6/$BJ$4)*100</f>
        <v>0.68548387096774188</v>
      </c>
      <c r="BP6" s="8">
        <v>0</v>
      </c>
      <c r="BQ6" s="6">
        <f>(BP6/$BJ$4)*100</f>
        <v>0</v>
      </c>
      <c r="BR6" s="6">
        <v>45.8</v>
      </c>
      <c r="BS6" s="6">
        <f>(BR6/$BJ$4)*100</f>
        <v>6.1559139784946231</v>
      </c>
      <c r="BT6" s="8">
        <v>41</v>
      </c>
      <c r="BU6" s="6">
        <f>(BK6/$BJ$4)*100</f>
        <v>93.158602150537632</v>
      </c>
      <c r="BV6" s="6">
        <f>((BK6-BT6)/$BJ$4)*100</f>
        <v>87.647849462365585</v>
      </c>
      <c r="BW6" s="18">
        <f>IF((AND(BL6=0,BN6=0)),0,(BN6+BT6)/(BL6+BN6)*100)</f>
        <v>6.602692638212547</v>
      </c>
      <c r="BX6" s="6">
        <f>(BZ6/($BJ$4*CA6))*100</f>
        <v>75.551915322580641</v>
      </c>
      <c r="BY6" s="6">
        <f>SUM(BL6:BN6,BP6,BR6)</f>
        <v>744</v>
      </c>
      <c r="BZ6" s="86">
        <v>89937</v>
      </c>
      <c r="CA6" s="20">
        <v>160</v>
      </c>
      <c r="CC6" s="16" t="s">
        <v>33</v>
      </c>
      <c r="CD6" s="17" t="s">
        <v>34</v>
      </c>
      <c r="CE6" s="8">
        <v>632.79999999999995</v>
      </c>
      <c r="CF6" s="8">
        <v>632.79999999999995</v>
      </c>
      <c r="CG6" s="8">
        <v>0</v>
      </c>
      <c r="CH6" s="8">
        <v>3.1</v>
      </c>
      <c r="CI6" s="6">
        <f>(CH6/$CD$4)*100</f>
        <v>0.43055555555555558</v>
      </c>
      <c r="CJ6" s="8">
        <v>0</v>
      </c>
      <c r="CK6" s="6">
        <f>(CJ6/$CD$4)*100</f>
        <v>0</v>
      </c>
      <c r="CL6" s="6">
        <v>84.1</v>
      </c>
      <c r="CM6" s="6">
        <f>(CL6/$CD$4)*100</f>
        <v>11.680555555555555</v>
      </c>
      <c r="CN6" s="8">
        <v>0</v>
      </c>
      <c r="CO6" s="6">
        <f>(CE6/$CD$4)*100</f>
        <v>87.888888888888886</v>
      </c>
      <c r="CP6" s="6">
        <f>((CE6-CN6)/$CD$4)*100</f>
        <v>87.888888888888886</v>
      </c>
      <c r="CQ6" s="18">
        <f>IF((AND(CF6=0,CH6=0)),0,(CH6+CN6)/(CF6+CH6)*100)</f>
        <v>0.48749803428211985</v>
      </c>
      <c r="CR6" s="6">
        <f>(CT6/($CD$4*CU6))*100</f>
        <v>71.934027777777771</v>
      </c>
      <c r="CS6" s="6">
        <f>SUM(CF6:CH6,CJ6,CL6)</f>
        <v>720</v>
      </c>
      <c r="CT6" s="86">
        <v>82868</v>
      </c>
      <c r="CU6" s="20">
        <v>160</v>
      </c>
      <c r="CW6" s="16" t="s">
        <v>33</v>
      </c>
      <c r="CX6" s="17" t="s">
        <v>34</v>
      </c>
      <c r="CY6" s="8">
        <v>727</v>
      </c>
      <c r="CZ6" s="8">
        <v>727</v>
      </c>
      <c r="DA6" s="8">
        <v>0</v>
      </c>
      <c r="DB6" s="8">
        <v>17</v>
      </c>
      <c r="DC6" s="6">
        <f>(DB6/$CX$4)*100</f>
        <v>2.28494623655914</v>
      </c>
      <c r="DD6" s="8">
        <v>0</v>
      </c>
      <c r="DE6" s="6">
        <f>(DD6/$CX$4)*100</f>
        <v>0</v>
      </c>
      <c r="DF6" s="6">
        <v>0</v>
      </c>
      <c r="DG6" s="6">
        <f>(DF6/$CX$4)*100</f>
        <v>0</v>
      </c>
      <c r="DH6" s="8">
        <v>0</v>
      </c>
      <c r="DI6" s="6">
        <f>(CY6/$V$4)*100</f>
        <v>97.715053763440864</v>
      </c>
      <c r="DJ6" s="6">
        <f>((CY6-DH6)/$CX$4)*100</f>
        <v>97.715053763440864</v>
      </c>
      <c r="DK6" s="18">
        <f>IF((AND(CZ6=0,DB6=0)),0,(DB6+DH6)/(CZ6+DB6)*100)</f>
        <v>2.28494623655914</v>
      </c>
      <c r="DL6" s="6">
        <f>(DN6/($CX$4*DO6))*100</f>
        <v>82.258064516129039</v>
      </c>
      <c r="DM6" s="6">
        <f>SUM(CZ6:DB6,DD6,DF6)</f>
        <v>744</v>
      </c>
      <c r="DN6" s="86">
        <v>97920</v>
      </c>
      <c r="DO6" s="20">
        <v>160</v>
      </c>
      <c r="DQ6" s="16" t="s">
        <v>33</v>
      </c>
      <c r="DR6" s="17" t="s">
        <v>34</v>
      </c>
      <c r="DS6" s="8">
        <v>703.7</v>
      </c>
      <c r="DT6" s="8">
        <v>700.1</v>
      </c>
      <c r="DU6" s="8">
        <v>3.6</v>
      </c>
      <c r="DV6" s="8">
        <v>23</v>
      </c>
      <c r="DW6" s="6">
        <f>(DV6/$DR$4)*100</f>
        <v>3.0913978494623655</v>
      </c>
      <c r="DX6" s="8">
        <v>0</v>
      </c>
      <c r="DY6" s="6">
        <f>(DX6/$DR$4)*100</f>
        <v>0</v>
      </c>
      <c r="DZ6" s="6">
        <v>17.3</v>
      </c>
      <c r="EA6" s="6">
        <f>(DZ6/$DR$4)*100</f>
        <v>2.325268817204301</v>
      </c>
      <c r="EB6" s="8">
        <v>16.84</v>
      </c>
      <c r="EC6" s="6">
        <f>(DS6/$V$4)*100</f>
        <v>94.583333333333343</v>
      </c>
      <c r="ED6" s="6">
        <f>((DS6-EB6)/$DR$4)*100</f>
        <v>92.319892473118287</v>
      </c>
      <c r="EE6" s="18">
        <f>IF((AND(DT6=0,DV6=0)),0,(DV6+EB6)/(DT6+DV6)*100)</f>
        <v>5.5096113953809986</v>
      </c>
      <c r="EF6" s="6">
        <f>(EH6/($DR$4*EI6))*100</f>
        <v>75.045362903225808</v>
      </c>
      <c r="EG6" s="6">
        <f>SUM(DT6:DV6,DX6,DZ6)</f>
        <v>744</v>
      </c>
      <c r="EH6" s="86">
        <v>89334</v>
      </c>
      <c r="EI6" s="20">
        <v>160</v>
      </c>
      <c r="EK6" s="16" t="s">
        <v>33</v>
      </c>
      <c r="EL6" s="17" t="s">
        <v>34</v>
      </c>
      <c r="EM6" s="8">
        <v>611.5</v>
      </c>
      <c r="EN6" s="8">
        <v>611.5</v>
      </c>
      <c r="EO6" s="8">
        <v>0</v>
      </c>
      <c r="EP6" s="8">
        <v>60.5</v>
      </c>
      <c r="EQ6" s="6">
        <f>(EP6/$EL$4)*100</f>
        <v>9.0029761904761898</v>
      </c>
      <c r="ER6" s="8">
        <v>0</v>
      </c>
      <c r="ES6" s="6">
        <f>(ER6/$EL$4)*100</f>
        <v>0</v>
      </c>
      <c r="ET6" s="6">
        <v>0</v>
      </c>
      <c r="EU6" s="6">
        <f>(ET6/$EL$4)*100</f>
        <v>0</v>
      </c>
      <c r="EV6" s="8">
        <v>0.6</v>
      </c>
      <c r="EW6" s="6">
        <f>(EM6/$V$4)*100</f>
        <v>82.19086021505376</v>
      </c>
      <c r="EX6" s="6">
        <f>((EM6-EV6)/$EL$4)*100</f>
        <v>90.907738095238088</v>
      </c>
      <c r="EY6" s="18">
        <f>IF((AND(EN6=0,EP6=0)),0,(EP6+EV6)/(EN6+EP6)*100)</f>
        <v>9.0922619047619051</v>
      </c>
      <c r="EZ6" s="6">
        <f>(FB6/($EL$4*FC6))*100</f>
        <v>72.87109375</v>
      </c>
      <c r="FA6" s="6">
        <f>SUM(EN6:EP6,ER6,ET6)</f>
        <v>672</v>
      </c>
      <c r="FB6" s="86">
        <v>78351</v>
      </c>
      <c r="FC6" s="20">
        <v>160</v>
      </c>
      <c r="FE6" s="16" t="s">
        <v>33</v>
      </c>
      <c r="FF6" s="17" t="s">
        <v>34</v>
      </c>
      <c r="FG6" s="8">
        <v>723.6</v>
      </c>
      <c r="FH6" s="8">
        <v>723.6</v>
      </c>
      <c r="FI6" s="8">
        <v>0</v>
      </c>
      <c r="FJ6" s="8">
        <v>20.399999999999999</v>
      </c>
      <c r="FK6" s="6">
        <f>(FJ6/$FF$4)*100</f>
        <v>2.7419354838709675</v>
      </c>
      <c r="FL6" s="8">
        <v>0</v>
      </c>
      <c r="FM6" s="6">
        <f>(FL6/$FF$4)*100</f>
        <v>0</v>
      </c>
      <c r="FN6" s="6">
        <v>0</v>
      </c>
      <c r="FO6" s="6">
        <f>(FN6/$FF$4)*100</f>
        <v>0</v>
      </c>
      <c r="FP6" s="8">
        <v>6.5</v>
      </c>
      <c r="FQ6" s="6">
        <f>(FG6/$V$4)*100</f>
        <v>97.258064516129039</v>
      </c>
      <c r="FR6" s="6">
        <f>((FG6-FP6)/$FF$4)*100</f>
        <v>96.384408602150543</v>
      </c>
      <c r="FS6" s="18">
        <f>IF((AND(FH6=0,FJ6=0)),0,(FJ6+FP6)/(FH6+FJ6)*100)</f>
        <v>3.6155913978494625</v>
      </c>
      <c r="FT6" s="6">
        <f>(FV6/($FF$4*FW6))*100</f>
        <v>81.435651881720432</v>
      </c>
      <c r="FU6" s="6">
        <f>SUM(FH6:FJ6,FL6,FN6)</f>
        <v>744</v>
      </c>
      <c r="FV6" s="86">
        <v>96941</v>
      </c>
      <c r="FW6" s="20">
        <v>160</v>
      </c>
      <c r="FY6" s="16" t="s">
        <v>33</v>
      </c>
      <c r="FZ6" s="17" t="s">
        <v>34</v>
      </c>
      <c r="GA6" s="8">
        <v>710.9</v>
      </c>
      <c r="GB6" s="8">
        <v>710.9</v>
      </c>
      <c r="GC6" s="8">
        <v>0</v>
      </c>
      <c r="GD6" s="8">
        <v>9.1</v>
      </c>
      <c r="GE6" s="6">
        <f>(GD6/$FZ$4)</f>
        <v>1.2638888888888889E-2</v>
      </c>
      <c r="GF6" s="8">
        <v>0</v>
      </c>
      <c r="GG6" s="6">
        <f>(GF6/$FZ$4)*100</f>
        <v>0</v>
      </c>
      <c r="GH6" s="6">
        <v>0</v>
      </c>
      <c r="GI6" s="6">
        <f>(GH6/$FZ$4)*100</f>
        <v>0</v>
      </c>
      <c r="GJ6" s="8">
        <v>54</v>
      </c>
      <c r="GK6" s="6">
        <f>(GA6/$V$4)*100</f>
        <v>95.5510752688172</v>
      </c>
      <c r="GL6" s="6">
        <f>((GA6-GJ6)/$FZ$4)*100</f>
        <v>91.2361111111111</v>
      </c>
      <c r="GM6" s="18">
        <f>IF((AND(GB6=0,GD6=0)),0,(GD6+GJ6)/(GB6+GD6)*100)</f>
        <v>8.7638888888888893</v>
      </c>
      <c r="GN6" s="6">
        <f>(GP6/($FZ$4*GQ6))*100</f>
        <v>82.543402777777771</v>
      </c>
      <c r="GO6" s="6">
        <f>SUM(GB6:GD6,GF6,GH6)</f>
        <v>720</v>
      </c>
      <c r="GP6" s="86">
        <v>95090</v>
      </c>
      <c r="GQ6" s="20">
        <v>160</v>
      </c>
      <c r="GS6" s="16" t="s">
        <v>33</v>
      </c>
      <c r="GT6" s="17" t="s">
        <v>34</v>
      </c>
      <c r="GU6" s="8">
        <v>624.4</v>
      </c>
      <c r="GV6" s="8">
        <v>624.4</v>
      </c>
      <c r="GW6" s="107">
        <v>0</v>
      </c>
      <c r="GX6" s="8">
        <v>47.7</v>
      </c>
      <c r="GY6" s="6">
        <f>(GX6/$GT$4)*100</f>
        <v>6.4112903225806459</v>
      </c>
      <c r="GZ6" s="8">
        <v>0</v>
      </c>
      <c r="HA6" s="6">
        <f>(GZ6/$GT$4)*100</f>
        <v>0</v>
      </c>
      <c r="HB6" s="108">
        <v>71.900000000000006</v>
      </c>
      <c r="HC6" s="6">
        <f>(HB6/$GT$4)*100</f>
        <v>9.663978494623656</v>
      </c>
      <c r="HD6" s="8">
        <v>0</v>
      </c>
      <c r="HE6" s="6">
        <f>(GU6/$GT$4)*100</f>
        <v>83.924731182795696</v>
      </c>
      <c r="HF6" s="6">
        <f>((GU6-HD6)/$GT$4)*100</f>
        <v>83.924731182795696</v>
      </c>
      <c r="HG6" s="18">
        <f>IF((AND(GV6=0,GX6=0)),0,(GX6+HD6)/(GV6+GX6)*100)</f>
        <v>7.0971581609879486</v>
      </c>
      <c r="HH6" s="6">
        <f>(HJ6/($GT$4*HK6))*100</f>
        <v>71.917842741935488</v>
      </c>
      <c r="HI6" s="6">
        <f>SUM(GV6:GX6,GZ6,HB6)</f>
        <v>744</v>
      </c>
      <c r="HJ6" s="86">
        <v>85611</v>
      </c>
      <c r="HK6" s="20">
        <v>160</v>
      </c>
      <c r="HM6" s="16" t="s">
        <v>33</v>
      </c>
      <c r="HN6" s="17" t="s">
        <v>34</v>
      </c>
      <c r="HO6" s="109">
        <v>701.4</v>
      </c>
      <c r="HP6" s="109">
        <v>701.4</v>
      </c>
      <c r="HQ6" s="109">
        <v>0</v>
      </c>
      <c r="HR6" s="109">
        <v>2.4</v>
      </c>
      <c r="HS6" s="6">
        <f>(HR6/$HN$4)*100</f>
        <v>0.33333333333333331</v>
      </c>
      <c r="HT6" s="109">
        <v>0</v>
      </c>
      <c r="HU6" s="6">
        <f>(HT6/$HN$4)*100</f>
        <v>0</v>
      </c>
      <c r="HV6" s="109">
        <v>16.2</v>
      </c>
      <c r="HW6" s="6">
        <f>(HV6/$HN$4)*100</f>
        <v>2.25</v>
      </c>
      <c r="HX6" s="109">
        <v>0</v>
      </c>
      <c r="HY6" s="6">
        <f>(HO6/$HN$4)*100</f>
        <v>97.416666666666657</v>
      </c>
      <c r="HZ6" s="6">
        <f>((HO6-HX6)/$HN$4)*100</f>
        <v>97.416666666666657</v>
      </c>
      <c r="IA6" s="18">
        <f>IF((AND(HP6=0,HR6=0)),0,(HR6+HX6)/(HP6+HR6)*100)</f>
        <v>0.34100596760443308</v>
      </c>
      <c r="IB6" s="6">
        <f>(ID6/($HN$4*IE6))*100</f>
        <v>81.701388888888886</v>
      </c>
      <c r="IC6" s="6">
        <f>SUM(HP6:HR6,HT6,HV6)</f>
        <v>720</v>
      </c>
      <c r="ID6" s="110">
        <v>94120</v>
      </c>
      <c r="IE6" s="20">
        <v>160</v>
      </c>
      <c r="IF6" s="15">
        <v>153</v>
      </c>
    </row>
    <row r="7" spans="1:240" ht="15" x14ac:dyDescent="0.25">
      <c r="A7" s="16" t="s">
        <v>35</v>
      </c>
      <c r="B7" s="17" t="s">
        <v>36</v>
      </c>
      <c r="C7" s="6">
        <v>0</v>
      </c>
      <c r="D7" s="6">
        <v>0</v>
      </c>
      <c r="E7" s="6">
        <v>0</v>
      </c>
      <c r="F7" s="8">
        <v>744</v>
      </c>
      <c r="G7" s="6">
        <f t="shared" ref="G7:G11" si="0">(F7/$B$4)*100</f>
        <v>100</v>
      </c>
      <c r="H7" s="8">
        <v>0</v>
      </c>
      <c r="I7" s="6">
        <f t="shared" ref="I7:I11" si="1">(H7/$B$4)*100</f>
        <v>0</v>
      </c>
      <c r="J7" s="15">
        <v>0</v>
      </c>
      <c r="K7" s="6">
        <f t="shared" ref="K7:K11" si="2">(J7/$B$4)*100</f>
        <v>0</v>
      </c>
      <c r="L7" s="8">
        <v>0</v>
      </c>
      <c r="M7" s="8">
        <f t="shared" ref="M7:M11" si="3">(C7/$B$4)*100</f>
        <v>0</v>
      </c>
      <c r="N7" s="6">
        <f t="shared" ref="N7:N11" si="4">((C7-L7)/$B$4)*100</f>
        <v>0</v>
      </c>
      <c r="O7" s="18">
        <f t="shared" ref="O7:O11" si="5">IF((AND(D7=0,F7=0)),0,(F7+L7)/(D7+F7)*100)</f>
        <v>100</v>
      </c>
      <c r="P7" s="6">
        <f t="shared" ref="P7:P11" si="6">(R7/($B$4*S7))*100</f>
        <v>0</v>
      </c>
      <c r="Q7" s="6">
        <f t="shared" ref="Q7:Q11" si="7">SUM(D7:F7,H7,J7)</f>
        <v>744</v>
      </c>
      <c r="R7" s="8">
        <v>0</v>
      </c>
      <c r="S7" s="20">
        <v>60</v>
      </c>
      <c r="U7" s="16" t="s">
        <v>35</v>
      </c>
      <c r="V7" s="17" t="s">
        <v>36</v>
      </c>
      <c r="W7" s="6">
        <f t="shared" ref="W7:W11" si="8">$V$4-Z7-AB7-AD7</f>
        <v>0</v>
      </c>
      <c r="X7" s="8">
        <v>0</v>
      </c>
      <c r="Y7" s="8">
        <v>0</v>
      </c>
      <c r="Z7" s="8">
        <v>744</v>
      </c>
      <c r="AA7" s="6">
        <f t="shared" ref="AA7:AA11" si="9">(Z7/$V$4)*100</f>
        <v>100</v>
      </c>
      <c r="AB7" s="8">
        <v>0</v>
      </c>
      <c r="AC7" s="6">
        <f t="shared" ref="AC7:AE11" si="10">(AB7/$V$4)*100</f>
        <v>0</v>
      </c>
      <c r="AD7" s="6">
        <v>0</v>
      </c>
      <c r="AE7" s="6">
        <f t="shared" si="10"/>
        <v>0</v>
      </c>
      <c r="AF7" s="8">
        <v>0</v>
      </c>
      <c r="AG7" s="6">
        <f t="shared" ref="AG7:AG11" si="11">(W7/$V$4)*100</f>
        <v>0</v>
      </c>
      <c r="AH7" s="6">
        <f t="shared" ref="AH7:AH11" si="12">((W7-AF7)/$V$4)*100</f>
        <v>0</v>
      </c>
      <c r="AI7" s="18">
        <f t="shared" ref="AI7:AI11" si="13">IF((AND(X7=0,Z7=0)),0,(Z7+AF7)/(X7+Z7)*100)</f>
        <v>100</v>
      </c>
      <c r="AJ7" s="6">
        <f t="shared" ref="AJ7:AJ11" si="14">(AL7/($V$4*AM7))*100</f>
        <v>0</v>
      </c>
      <c r="AK7" s="6">
        <f t="shared" ref="AK7:AK11" si="15">SUM(X7:Z7,AB7,AD7)</f>
        <v>744</v>
      </c>
      <c r="AL7" s="8">
        <v>0</v>
      </c>
      <c r="AM7" s="20">
        <v>60</v>
      </c>
      <c r="AO7" s="16" t="s">
        <v>35</v>
      </c>
      <c r="AP7" s="17" t="s">
        <v>36</v>
      </c>
      <c r="AQ7" s="8">
        <v>655.1</v>
      </c>
      <c r="AR7" s="8">
        <v>655.1</v>
      </c>
      <c r="AS7" s="8">
        <v>0</v>
      </c>
      <c r="AT7" s="8">
        <v>64.900000000000006</v>
      </c>
      <c r="AU7" s="6">
        <f t="shared" ref="AU7:AU11" si="16">(AT7/$AP$4)*100</f>
        <v>9.0138888888888893</v>
      </c>
      <c r="AV7" s="8">
        <v>0</v>
      </c>
      <c r="AW7" s="6">
        <f t="shared" ref="AW7:AW11" si="17">(AV7/$AP$4)*100</f>
        <v>0</v>
      </c>
      <c r="AX7" s="6">
        <v>0</v>
      </c>
      <c r="AY7" s="6">
        <f t="shared" ref="AY7:AY11" si="18">(AX7/$AP$4)*100</f>
        <v>0</v>
      </c>
      <c r="AZ7" s="8">
        <v>0</v>
      </c>
      <c r="BA7" s="6">
        <f t="shared" ref="BA7:BA11" si="19">(AQ7/$AP$4)*100</f>
        <v>90.986111111111114</v>
      </c>
      <c r="BB7" s="6">
        <f t="shared" ref="BB7:BB11" si="20">((AQ7-AZ7)/$AP$4)*100</f>
        <v>90.986111111111114</v>
      </c>
      <c r="BC7" s="18">
        <f t="shared" ref="BC7:BC11" si="21">IF((AND(AR7=0,AT7=0)),0,(AT7+AZ7)/(AR7+AT7)*100)</f>
        <v>9.0138888888888893</v>
      </c>
      <c r="BD7" s="6">
        <f t="shared" ref="BD7:BD11" si="22">(BF7/($AP$4*BG7))*100</f>
        <v>73.884259259259252</v>
      </c>
      <c r="BE7" s="6">
        <f t="shared" ref="BE7:BE11" si="23">SUM(AR7:AT7,AV7,AX7)</f>
        <v>720</v>
      </c>
      <c r="BF7" s="86">
        <v>31918</v>
      </c>
      <c r="BG7" s="20">
        <v>60</v>
      </c>
      <c r="BI7" s="16" t="s">
        <v>35</v>
      </c>
      <c r="BJ7" s="17" t="s">
        <v>36</v>
      </c>
      <c r="BK7" s="8">
        <v>574.20000000000005</v>
      </c>
      <c r="BL7" s="8">
        <v>574.20000000000005</v>
      </c>
      <c r="BM7" s="8">
        <v>0</v>
      </c>
      <c r="BN7" s="8">
        <v>23.6</v>
      </c>
      <c r="BO7" s="6">
        <f t="shared" ref="BO7:BO11" si="24">(BN7/$BJ$4)*100</f>
        <v>3.1720430107526885</v>
      </c>
      <c r="BP7" s="8">
        <v>146.19999999999999</v>
      </c>
      <c r="BQ7" s="6">
        <f t="shared" ref="BQ7:BQ11" si="25">(BP7/$BJ$4)*100</f>
        <v>19.6505376344086</v>
      </c>
      <c r="BR7" s="6">
        <v>0</v>
      </c>
      <c r="BS7" s="6">
        <f t="shared" ref="BS7:BS11" si="26">(BR7/$BJ$4)*100</f>
        <v>0</v>
      </c>
      <c r="BT7" s="8">
        <v>64</v>
      </c>
      <c r="BU7" s="6">
        <f t="shared" ref="BU7:BU14" si="27">(BK7/$BJ$4)*100</f>
        <v>77.177419354838719</v>
      </c>
      <c r="BV7" s="6">
        <f t="shared" ref="BV7:BV11" si="28">((BK7-BT7)/$BJ$4)*100</f>
        <v>68.575268817204304</v>
      </c>
      <c r="BW7" s="18">
        <f t="shared" ref="BW7:BW11" si="29">IF((AND(BL7=0,BN7=0)),0,(BN7+BT7)/(BL7+BN7)*100)</f>
        <v>14.653730344596852</v>
      </c>
      <c r="BX7" s="6">
        <f t="shared" ref="BX7:BX20" si="30">(BZ7/($BJ$4*CA7))*100</f>
        <v>58.476702508960578</v>
      </c>
      <c r="BY7" s="6">
        <f t="shared" ref="BY7:BY11" si="31">SUM(BL7:BN7,BP7,BR7)</f>
        <v>744</v>
      </c>
      <c r="BZ7" s="86">
        <v>26104</v>
      </c>
      <c r="CA7" s="20">
        <v>60</v>
      </c>
      <c r="CC7" s="16" t="s">
        <v>35</v>
      </c>
      <c r="CD7" s="17" t="s">
        <v>36</v>
      </c>
      <c r="CE7" s="8">
        <v>430.2</v>
      </c>
      <c r="CF7" s="8">
        <v>430.2</v>
      </c>
      <c r="CG7" s="8">
        <v>0</v>
      </c>
      <c r="CH7" s="8">
        <v>39.5</v>
      </c>
      <c r="CI7" s="6">
        <f t="shared" ref="CI7:CI11" si="32">(CH7/$CD$4)*100</f>
        <v>5.4861111111111107</v>
      </c>
      <c r="CJ7" s="8">
        <v>182</v>
      </c>
      <c r="CK7" s="6">
        <f t="shared" ref="CK7:CK11" si="33">(CJ7/$CD$4)*100</f>
        <v>25.277777777777779</v>
      </c>
      <c r="CL7" s="6">
        <v>68.3</v>
      </c>
      <c r="CM7" s="6">
        <f t="shared" ref="CM7:CM11" si="34">(CL7/$CD$4)*100</f>
        <v>9.4861111111111107</v>
      </c>
      <c r="CN7" s="8">
        <v>0</v>
      </c>
      <c r="CO7" s="6">
        <f t="shared" ref="CO7:CO11" si="35">(CE7/$CD$4)*100</f>
        <v>59.75</v>
      </c>
      <c r="CP7" s="6">
        <f t="shared" ref="CP7:CP11" si="36">((CE7-CN7)/$CD$4)*100</f>
        <v>59.75</v>
      </c>
      <c r="CQ7" s="18">
        <f t="shared" ref="CQ7:CQ11" si="37">IF((AND(CF7=0,CH7=0)),0,(CH7+CN7)/(CF7+CH7)*100)</f>
        <v>8.4096231637215251</v>
      </c>
      <c r="CR7" s="6">
        <f t="shared" ref="CR7:CR20" si="38">(CT7/($CD$4*CU7))*100</f>
        <v>46.347222222222221</v>
      </c>
      <c r="CS7" s="6">
        <f t="shared" ref="CS7:CS11" si="39">SUM(CF7:CH7,CJ7,CL7)</f>
        <v>720</v>
      </c>
      <c r="CT7" s="86">
        <v>20022</v>
      </c>
      <c r="CU7" s="20">
        <v>60</v>
      </c>
      <c r="CW7" s="16" t="s">
        <v>35</v>
      </c>
      <c r="CX7" s="17" t="s">
        <v>36</v>
      </c>
      <c r="CY7" s="8">
        <v>705</v>
      </c>
      <c r="CZ7" s="8">
        <v>705</v>
      </c>
      <c r="DA7" s="8">
        <v>0</v>
      </c>
      <c r="DB7" s="8">
        <v>39</v>
      </c>
      <c r="DC7" s="6">
        <f t="shared" ref="DC7:DC11" si="40">(DB7/$CX$4)*100</f>
        <v>5.241935483870968</v>
      </c>
      <c r="DD7" s="8">
        <v>0</v>
      </c>
      <c r="DE7" s="6">
        <f t="shared" ref="DE7:DE11" si="41">(DD7/$CX$4)*100</f>
        <v>0</v>
      </c>
      <c r="DF7" s="6">
        <v>0</v>
      </c>
      <c r="DG7" s="6">
        <f t="shared" ref="DG7:DG11" si="42">(DF7/$CX$4)*100</f>
        <v>0</v>
      </c>
      <c r="DH7" s="8">
        <v>0</v>
      </c>
      <c r="DI7" s="6">
        <f t="shared" ref="DI7:DI11" si="43">(CY7/$V$4)*100</f>
        <v>94.758064516129039</v>
      </c>
      <c r="DJ7" s="6">
        <f t="shared" ref="DJ7:DJ11" si="44">((CY7-DH7)/$CX$4)*100</f>
        <v>94.758064516129039</v>
      </c>
      <c r="DK7" s="18">
        <f t="shared" ref="DK7:DK11" si="45">IF((AND(CZ7=0,DB7=0)),0,(DB7+DH7)/(CZ7+DB7)*100)</f>
        <v>5.241935483870968</v>
      </c>
      <c r="DL7" s="6">
        <f t="shared" ref="DL7:DL11" si="46">(DN7/($CX$4*DO7))*100</f>
        <v>73.223566308243733</v>
      </c>
      <c r="DM7" s="6">
        <f t="shared" ref="DM7:DM11" si="47">SUM(CZ7:DB7,DD7,DF7)</f>
        <v>744</v>
      </c>
      <c r="DN7" s="86">
        <v>32687</v>
      </c>
      <c r="DO7" s="20">
        <v>60</v>
      </c>
      <c r="DQ7" s="16" t="s">
        <v>35</v>
      </c>
      <c r="DR7" s="17" t="s">
        <v>36</v>
      </c>
      <c r="DS7" s="8">
        <v>553</v>
      </c>
      <c r="DT7" s="8">
        <v>544.6</v>
      </c>
      <c r="DU7" s="8">
        <v>8.4</v>
      </c>
      <c r="DV7" s="8">
        <v>170.8</v>
      </c>
      <c r="DW7" s="6">
        <f t="shared" ref="DW7:DW11" si="48">(DV7/$DR$4)*100</f>
        <v>22.956989247311828</v>
      </c>
      <c r="DX7" s="8">
        <v>0</v>
      </c>
      <c r="DY7" s="6">
        <f t="shared" ref="DY7:DY11" si="49">(DX7/$DR$4)*100</f>
        <v>0</v>
      </c>
      <c r="DZ7" s="6">
        <v>20.2</v>
      </c>
      <c r="EA7" s="6">
        <f t="shared" ref="EA7:EA11" si="50">(DZ7/$DR$4)*100</f>
        <v>2.71505376344086</v>
      </c>
      <c r="EB7" s="8">
        <v>98.65</v>
      </c>
      <c r="EC7" s="6">
        <f t="shared" ref="EC7:EC11" si="51">(DS7/$V$4)*100</f>
        <v>74.327956989247312</v>
      </c>
      <c r="ED7" s="6">
        <f t="shared" ref="ED7:ED11" si="52">((DS7-EB7)/$DR$4)*100</f>
        <v>61.068548387096776</v>
      </c>
      <c r="EE7" s="18">
        <f t="shared" ref="EE7:EE11" si="53">IF((AND(DT7=0,DV7=0)),0,(DV7+EB7)/(DT7+DV7)*100)</f>
        <v>37.664243779703668</v>
      </c>
      <c r="EF7" s="6">
        <f t="shared" ref="EF7:EF11" si="54">(EH7/($DR$4*EI7))*100</f>
        <v>53.906810035842291</v>
      </c>
      <c r="EG7" s="6">
        <f t="shared" ref="EG7:EG11" si="55">SUM(DT7:DV7,DX7,DZ7)</f>
        <v>744</v>
      </c>
      <c r="EH7" s="86">
        <v>24064</v>
      </c>
      <c r="EI7" s="20">
        <v>60</v>
      </c>
      <c r="EK7" s="16" t="s">
        <v>35</v>
      </c>
      <c r="EL7" s="17" t="s">
        <v>36</v>
      </c>
      <c r="EM7" s="8">
        <v>540.9</v>
      </c>
      <c r="EN7" s="8">
        <v>540.9</v>
      </c>
      <c r="EO7" s="8">
        <v>0</v>
      </c>
      <c r="EP7" s="8">
        <v>131.1</v>
      </c>
      <c r="EQ7" s="6">
        <f t="shared" ref="EQ7:EQ11" si="56">(EP7/$EL$4)*100</f>
        <v>19.508928571428573</v>
      </c>
      <c r="ER7" s="8">
        <v>0</v>
      </c>
      <c r="ES7" s="6">
        <f t="shared" ref="ES7:ES11" si="57">(ER7/$EL$4)*100</f>
        <v>0</v>
      </c>
      <c r="ET7" s="6">
        <v>0</v>
      </c>
      <c r="EU7" s="6">
        <f t="shared" ref="EU7:EU11" si="58">(ET7/$EL$4)*100</f>
        <v>0</v>
      </c>
      <c r="EV7" s="8">
        <v>0.6</v>
      </c>
      <c r="EW7" s="6">
        <f t="shared" ref="EW7:EW11" si="59">(EM7/$V$4)*100</f>
        <v>72.701612903225794</v>
      </c>
      <c r="EX7" s="6">
        <f t="shared" ref="EX7:EX11" si="60">((EM7-EV7)/$EL$4)*100</f>
        <v>80.401785714285708</v>
      </c>
      <c r="EY7" s="18">
        <f t="shared" ref="EY7:EY11" si="61">IF((AND(EN7=0,EP7=0)),0,(EP7+EV7)/(EN7+EP7)*100)</f>
        <v>19.598214285714281</v>
      </c>
      <c r="EZ7" s="6">
        <f t="shared" ref="EZ7:EZ14" si="62">(FB7/($EL$4*FC7))*100</f>
        <v>58.288690476190474</v>
      </c>
      <c r="FA7" s="6">
        <f t="shared" ref="FA7:FA11" si="63">SUM(EN7:EP7,ER7,ET7)</f>
        <v>672</v>
      </c>
      <c r="FB7" s="86">
        <v>23502</v>
      </c>
      <c r="FC7" s="20">
        <v>60</v>
      </c>
      <c r="FE7" s="16" t="s">
        <v>35</v>
      </c>
      <c r="FF7" s="17" t="s">
        <v>36</v>
      </c>
      <c r="FG7" s="8">
        <v>700.7</v>
      </c>
      <c r="FH7" s="8">
        <v>700.7</v>
      </c>
      <c r="FI7" s="8">
        <v>0</v>
      </c>
      <c r="FJ7" s="8">
        <v>43.3</v>
      </c>
      <c r="FK7" s="6">
        <f t="shared" ref="FK7:FK11" si="64">(FJ7/$FF$4)*100</f>
        <v>5.8198924731182791</v>
      </c>
      <c r="FL7" s="8">
        <v>0</v>
      </c>
      <c r="FM7" s="6">
        <f t="shared" ref="FM7:FM11" si="65">(FL7/$FF$4)*100</f>
        <v>0</v>
      </c>
      <c r="FN7" s="6">
        <v>0</v>
      </c>
      <c r="FO7" s="6">
        <f t="shared" ref="FO7:FO14" si="66">(FN7/$FF$4)*100</f>
        <v>0</v>
      </c>
      <c r="FP7" s="8">
        <v>6.5</v>
      </c>
      <c r="FQ7" s="6">
        <f t="shared" ref="FQ7:FQ11" si="67">(FG7/$V$4)*100</f>
        <v>94.180107526881727</v>
      </c>
      <c r="FR7" s="6">
        <f t="shared" ref="FR7:FR11" si="68">((FG7-FP7)/$FF$4)*100</f>
        <v>93.306451612903231</v>
      </c>
      <c r="FS7" s="18">
        <f t="shared" ref="FS7:FS11" si="69">IF((AND(FH7=0,FJ7=0)),0,(FJ7+FP7)/(FH7+FJ7)*100)</f>
        <v>6.6935483870967731</v>
      </c>
      <c r="FT7" s="6">
        <f t="shared" ref="FT7:FT11" si="70">(FV7/($FF$4*FW7))*100</f>
        <v>68.810483870967744</v>
      </c>
      <c r="FU7" s="6">
        <f t="shared" ref="FU7:FU11" si="71">SUM(FH7:FJ7,FL7,FN7)</f>
        <v>744</v>
      </c>
      <c r="FV7" s="86">
        <v>30717</v>
      </c>
      <c r="FW7" s="20">
        <v>60</v>
      </c>
      <c r="FY7" s="16" t="s">
        <v>35</v>
      </c>
      <c r="FZ7" s="17" t="s">
        <v>36</v>
      </c>
      <c r="GA7" s="8">
        <v>701.5</v>
      </c>
      <c r="GB7" s="8">
        <v>701.5</v>
      </c>
      <c r="GC7" s="8">
        <v>0</v>
      </c>
      <c r="GD7" s="8">
        <v>18.5</v>
      </c>
      <c r="GE7" s="6">
        <f t="shared" ref="GE7:GE11" si="72">(GD7/$FZ$4)</f>
        <v>2.5694444444444443E-2</v>
      </c>
      <c r="GF7" s="8">
        <v>0</v>
      </c>
      <c r="GG7" s="6">
        <f t="shared" ref="GG7:GG11" si="73">(GF7/$FZ$4)*100</f>
        <v>0</v>
      </c>
      <c r="GH7" s="6">
        <v>0</v>
      </c>
      <c r="GI7" s="6">
        <f t="shared" ref="GI7:GI11" si="74">(GH7/$FZ$4)*100</f>
        <v>0</v>
      </c>
      <c r="GJ7" s="8">
        <v>56.5</v>
      </c>
      <c r="GK7" s="6">
        <f t="shared" ref="GK7:GK11" si="75">(GA7/$V$4)*100</f>
        <v>94.287634408602145</v>
      </c>
      <c r="GL7" s="6">
        <f t="shared" ref="GL7:GL11" si="76">((GA7-GJ7)/$FZ$4)*100</f>
        <v>89.583333333333343</v>
      </c>
      <c r="GM7" s="18">
        <f t="shared" ref="GM7:GM11" si="77">IF((AND(GB7=0,GD7=0)),0,(GD7+GJ7)/(GB7+GD7)*100)</f>
        <v>10.416666666666668</v>
      </c>
      <c r="GN7" s="6">
        <f t="shared" ref="GN7:GN11" si="78">(GP7/($FZ$4*GQ7))*100</f>
        <v>72.495370370370367</v>
      </c>
      <c r="GO7" s="6">
        <f t="shared" ref="GO7:GO11" si="79">SUM(GB7:GD7,GF7,GH7)</f>
        <v>720</v>
      </c>
      <c r="GP7" s="86">
        <v>31318</v>
      </c>
      <c r="GQ7" s="20">
        <v>60</v>
      </c>
      <c r="GS7" s="16" t="s">
        <v>35</v>
      </c>
      <c r="GT7" s="17" t="s">
        <v>36</v>
      </c>
      <c r="GU7" s="8">
        <v>616.9</v>
      </c>
      <c r="GV7" s="8">
        <v>616.9</v>
      </c>
      <c r="GW7" s="107">
        <v>0</v>
      </c>
      <c r="GX7" s="8">
        <v>49</v>
      </c>
      <c r="GY7" s="6">
        <f t="shared" ref="GY7:HC17" si="80">(GX7/$GT$4)*100</f>
        <v>6.586021505376344</v>
      </c>
      <c r="GZ7" s="8">
        <v>0</v>
      </c>
      <c r="HA7" s="6">
        <f t="shared" si="80"/>
        <v>0</v>
      </c>
      <c r="HB7" s="108">
        <v>78.099999999999994</v>
      </c>
      <c r="HC7" s="6">
        <f t="shared" si="80"/>
        <v>10.497311827956988</v>
      </c>
      <c r="HD7" s="8">
        <v>0</v>
      </c>
      <c r="HE7" s="6">
        <f t="shared" ref="HE7:HE11" si="81">(GU7/$GT$4)*100</f>
        <v>82.916666666666657</v>
      </c>
      <c r="HF7" s="6">
        <f t="shared" ref="HF7:HF20" si="82">((GU7-HD7)/$GT$4)*100</f>
        <v>82.916666666666657</v>
      </c>
      <c r="HG7" s="18">
        <f t="shared" ref="HG7:HG20" si="83">IF((AND(GV7=0,GX7=0)),0,(GX7+HD7)/(GV7+GX7)*100)</f>
        <v>7.3584622315663015</v>
      </c>
      <c r="HH7" s="6">
        <f t="shared" ref="HH7:HH20" si="84">(HJ7/($GT$4*HK7))*100</f>
        <v>65.105286738351253</v>
      </c>
      <c r="HI7" s="6">
        <f t="shared" ref="HI7:HI11" si="85">SUM(GV7:GX7,GZ7,HB7)</f>
        <v>744</v>
      </c>
      <c r="HJ7" s="86">
        <v>29063</v>
      </c>
      <c r="HK7" s="20">
        <v>60</v>
      </c>
      <c r="HM7" s="16" t="s">
        <v>35</v>
      </c>
      <c r="HN7" s="17" t="s">
        <v>36</v>
      </c>
      <c r="HO7" s="109">
        <v>688.8</v>
      </c>
      <c r="HP7" s="109">
        <v>688.8</v>
      </c>
      <c r="HQ7" s="109">
        <v>0</v>
      </c>
      <c r="HR7" s="109">
        <v>10.199999999999999</v>
      </c>
      <c r="HS7" s="6">
        <f t="shared" ref="HS7:HS11" si="86">(HR7/$HN$4)*100</f>
        <v>1.4166666666666665</v>
      </c>
      <c r="HT7" s="109">
        <v>0</v>
      </c>
      <c r="HU7" s="6">
        <f t="shared" ref="HU7:HW11" si="87">(HT7/$HN$4)*100</f>
        <v>0</v>
      </c>
      <c r="HV7" s="109">
        <v>21</v>
      </c>
      <c r="HW7" s="6">
        <f t="shared" si="87"/>
        <v>2.9166666666666665</v>
      </c>
      <c r="HX7" s="109">
        <v>0</v>
      </c>
      <c r="HY7" s="6">
        <f t="shared" ref="HY7:HY11" si="88">(HO7/$HN$4)*100</f>
        <v>95.666666666666657</v>
      </c>
      <c r="HZ7" s="6">
        <f t="shared" ref="HZ7:HZ11" si="89">((HO7-HX7)/$HN$4)*100</f>
        <v>95.666666666666657</v>
      </c>
      <c r="IA7" s="18">
        <f t="shared" ref="IA7:IA11" si="90">IF((AND(HP7=0,HR7=0)),0,(HR7+HX7)/(HP7+HR7)*100)</f>
        <v>1.4592274678111588</v>
      </c>
      <c r="IB7" s="6">
        <f t="shared" ref="IB7:IB11" si="91">(ID7/($HN$4*IE7))*100</f>
        <v>73.324074074074076</v>
      </c>
      <c r="IC7" s="6">
        <f t="shared" ref="IC7:IC11" si="92">SUM(HP7:HR7,HT7,HV7)</f>
        <v>720</v>
      </c>
      <c r="ID7" s="110">
        <v>31676</v>
      </c>
      <c r="IE7" s="20">
        <v>60</v>
      </c>
      <c r="IF7" s="15">
        <v>52</v>
      </c>
    </row>
    <row r="8" spans="1:240" ht="15" x14ac:dyDescent="0.25">
      <c r="A8" s="17"/>
      <c r="B8" s="17" t="s">
        <v>37</v>
      </c>
      <c r="C8" s="6">
        <v>744</v>
      </c>
      <c r="D8" s="6">
        <v>695.5</v>
      </c>
      <c r="E8" s="6">
        <v>48.5</v>
      </c>
      <c r="F8" s="8">
        <v>0</v>
      </c>
      <c r="G8" s="6">
        <f t="shared" si="0"/>
        <v>0</v>
      </c>
      <c r="H8" s="8">
        <v>0</v>
      </c>
      <c r="I8" s="6">
        <f t="shared" si="1"/>
        <v>0</v>
      </c>
      <c r="J8" s="15">
        <v>0</v>
      </c>
      <c r="K8" s="6">
        <f t="shared" si="2"/>
        <v>0</v>
      </c>
      <c r="L8" s="8">
        <v>0</v>
      </c>
      <c r="M8" s="8">
        <f t="shared" si="3"/>
        <v>100</v>
      </c>
      <c r="N8" s="6">
        <f t="shared" si="4"/>
        <v>100</v>
      </c>
      <c r="O8" s="18">
        <f t="shared" si="5"/>
        <v>0</v>
      </c>
      <c r="P8" s="6">
        <f t="shared" si="6"/>
        <v>81.809475806451616</v>
      </c>
      <c r="Q8" s="6">
        <f t="shared" si="7"/>
        <v>744</v>
      </c>
      <c r="R8" s="86">
        <v>97386</v>
      </c>
      <c r="S8" s="20">
        <v>160</v>
      </c>
      <c r="U8" s="17"/>
      <c r="V8" s="17" t="s">
        <v>37</v>
      </c>
      <c r="W8" s="6">
        <f t="shared" si="8"/>
        <v>305.2</v>
      </c>
      <c r="X8" s="8">
        <v>167.2</v>
      </c>
      <c r="Y8" s="8">
        <v>138</v>
      </c>
      <c r="Z8" s="8">
        <v>438.8</v>
      </c>
      <c r="AA8" s="6">
        <f t="shared" si="9"/>
        <v>58.978494623655919</v>
      </c>
      <c r="AB8" s="8">
        <v>0</v>
      </c>
      <c r="AC8" s="6">
        <f t="shared" si="10"/>
        <v>0</v>
      </c>
      <c r="AD8" s="6">
        <v>0</v>
      </c>
      <c r="AE8" s="6">
        <f t="shared" si="10"/>
        <v>0</v>
      </c>
      <c r="AF8" s="8">
        <v>0</v>
      </c>
      <c r="AG8" s="6">
        <f t="shared" si="11"/>
        <v>41.021505376344088</v>
      </c>
      <c r="AH8" s="6">
        <f t="shared" si="12"/>
        <v>41.021505376344088</v>
      </c>
      <c r="AI8" s="18">
        <f t="shared" si="13"/>
        <v>72.409240924092416</v>
      </c>
      <c r="AJ8" s="6">
        <f t="shared" si="14"/>
        <v>17.429435483870968</v>
      </c>
      <c r="AK8" s="6">
        <f t="shared" si="15"/>
        <v>744</v>
      </c>
      <c r="AL8" s="86">
        <v>20748</v>
      </c>
      <c r="AM8" s="20">
        <v>160</v>
      </c>
      <c r="AO8" s="17"/>
      <c r="AP8" s="17" t="s">
        <v>37</v>
      </c>
      <c r="AQ8" s="8">
        <v>0</v>
      </c>
      <c r="AR8" s="8">
        <v>0</v>
      </c>
      <c r="AS8" s="8">
        <v>0</v>
      </c>
      <c r="AT8" s="8">
        <v>720</v>
      </c>
      <c r="AU8" s="6">
        <f t="shared" si="16"/>
        <v>100</v>
      </c>
      <c r="AV8" s="8">
        <v>0</v>
      </c>
      <c r="AW8" s="6">
        <f t="shared" si="17"/>
        <v>0</v>
      </c>
      <c r="AX8" s="6">
        <v>0</v>
      </c>
      <c r="AY8" s="6">
        <f t="shared" si="18"/>
        <v>0</v>
      </c>
      <c r="AZ8" s="8">
        <v>0</v>
      </c>
      <c r="BA8" s="6">
        <f t="shared" si="19"/>
        <v>0</v>
      </c>
      <c r="BB8" s="6">
        <f t="shared" si="20"/>
        <v>0</v>
      </c>
      <c r="BC8" s="18">
        <f t="shared" si="21"/>
        <v>100</v>
      </c>
      <c r="BD8" s="6">
        <f t="shared" si="22"/>
        <v>0</v>
      </c>
      <c r="BE8" s="6">
        <f t="shared" si="23"/>
        <v>720</v>
      </c>
      <c r="BF8" s="8">
        <v>0</v>
      </c>
      <c r="BG8" s="20">
        <v>160</v>
      </c>
      <c r="BI8" s="17"/>
      <c r="BJ8" s="17" t="s">
        <v>37</v>
      </c>
      <c r="BK8" s="8">
        <v>0</v>
      </c>
      <c r="BL8" s="8">
        <v>0</v>
      </c>
      <c r="BM8" s="8">
        <v>0</v>
      </c>
      <c r="BN8" s="8">
        <v>744</v>
      </c>
      <c r="BO8" s="6">
        <f t="shared" si="24"/>
        <v>100</v>
      </c>
      <c r="BP8" s="8">
        <v>0</v>
      </c>
      <c r="BQ8" s="6">
        <f t="shared" si="25"/>
        <v>0</v>
      </c>
      <c r="BR8" s="6">
        <v>0</v>
      </c>
      <c r="BS8" s="6">
        <f t="shared" si="26"/>
        <v>0</v>
      </c>
      <c r="BT8" s="8">
        <v>0</v>
      </c>
      <c r="BU8" s="6">
        <f t="shared" si="27"/>
        <v>0</v>
      </c>
      <c r="BV8" s="6">
        <f t="shared" si="28"/>
        <v>0</v>
      </c>
      <c r="BW8" s="18">
        <f t="shared" si="29"/>
        <v>100</v>
      </c>
      <c r="BX8" s="6">
        <f t="shared" si="30"/>
        <v>0</v>
      </c>
      <c r="BY8" s="6">
        <f t="shared" si="31"/>
        <v>744</v>
      </c>
      <c r="BZ8" s="8">
        <v>0</v>
      </c>
      <c r="CA8" s="20">
        <v>160</v>
      </c>
      <c r="CC8" s="17"/>
      <c r="CD8" s="17" t="s">
        <v>37</v>
      </c>
      <c r="CE8" s="8">
        <v>0</v>
      </c>
      <c r="CF8" s="8">
        <v>0</v>
      </c>
      <c r="CG8" s="8">
        <v>0</v>
      </c>
      <c r="CH8" s="8">
        <v>0</v>
      </c>
      <c r="CI8" s="6">
        <f t="shared" si="32"/>
        <v>0</v>
      </c>
      <c r="CJ8" s="8">
        <v>720</v>
      </c>
      <c r="CK8" s="6">
        <f t="shared" si="33"/>
        <v>100</v>
      </c>
      <c r="CL8" s="6">
        <v>0</v>
      </c>
      <c r="CM8" s="6">
        <f t="shared" si="34"/>
        <v>0</v>
      </c>
      <c r="CN8" s="8">
        <v>0</v>
      </c>
      <c r="CO8" s="6">
        <f t="shared" si="35"/>
        <v>0</v>
      </c>
      <c r="CP8" s="6">
        <f t="shared" si="36"/>
        <v>0</v>
      </c>
      <c r="CQ8" s="18">
        <f t="shared" si="37"/>
        <v>0</v>
      </c>
      <c r="CR8" s="6">
        <f t="shared" si="38"/>
        <v>0</v>
      </c>
      <c r="CS8" s="6">
        <f t="shared" si="39"/>
        <v>720</v>
      </c>
      <c r="CT8" s="8">
        <v>0</v>
      </c>
      <c r="CU8" s="20">
        <v>160</v>
      </c>
      <c r="CW8" s="17"/>
      <c r="CX8" s="17" t="s">
        <v>37</v>
      </c>
      <c r="CY8" s="8">
        <v>0</v>
      </c>
      <c r="CZ8" s="8">
        <v>0</v>
      </c>
      <c r="DA8" s="8">
        <v>0</v>
      </c>
      <c r="DB8" s="8">
        <v>0</v>
      </c>
      <c r="DC8" s="6">
        <f t="shared" si="40"/>
        <v>0</v>
      </c>
      <c r="DD8" s="8">
        <v>744</v>
      </c>
      <c r="DE8" s="6">
        <f t="shared" si="41"/>
        <v>100</v>
      </c>
      <c r="DF8" s="6">
        <v>0</v>
      </c>
      <c r="DG8" s="6">
        <f t="shared" si="42"/>
        <v>0</v>
      </c>
      <c r="DH8" s="8">
        <v>0</v>
      </c>
      <c r="DI8" s="6">
        <f t="shared" si="43"/>
        <v>0</v>
      </c>
      <c r="DJ8" s="6">
        <f t="shared" si="44"/>
        <v>0</v>
      </c>
      <c r="DK8" s="18">
        <f t="shared" si="45"/>
        <v>0</v>
      </c>
      <c r="DL8" s="6">
        <f t="shared" si="46"/>
        <v>0</v>
      </c>
      <c r="DM8" s="6">
        <f t="shared" si="47"/>
        <v>744</v>
      </c>
      <c r="DN8" s="8">
        <v>0</v>
      </c>
      <c r="DO8" s="20">
        <v>160</v>
      </c>
      <c r="DQ8" s="17"/>
      <c r="DR8" s="17" t="s">
        <v>37</v>
      </c>
      <c r="DS8" s="8">
        <v>0</v>
      </c>
      <c r="DT8" s="8">
        <v>0</v>
      </c>
      <c r="DU8" s="8">
        <v>0</v>
      </c>
      <c r="DV8" s="8">
        <v>0</v>
      </c>
      <c r="DW8" s="6">
        <f t="shared" si="48"/>
        <v>0</v>
      </c>
      <c r="DX8" s="8">
        <v>744</v>
      </c>
      <c r="DY8" s="6">
        <f t="shared" si="49"/>
        <v>100</v>
      </c>
      <c r="DZ8" s="6">
        <v>0</v>
      </c>
      <c r="EA8" s="6">
        <f t="shared" si="50"/>
        <v>0</v>
      </c>
      <c r="EB8" s="8">
        <v>0</v>
      </c>
      <c r="EC8" s="6">
        <f t="shared" si="51"/>
        <v>0</v>
      </c>
      <c r="ED8" s="6">
        <f t="shared" si="52"/>
        <v>0</v>
      </c>
      <c r="EE8" s="18">
        <f t="shared" si="53"/>
        <v>0</v>
      </c>
      <c r="EF8" s="6">
        <f t="shared" si="54"/>
        <v>0</v>
      </c>
      <c r="EG8" s="6">
        <f t="shared" si="55"/>
        <v>744</v>
      </c>
      <c r="EH8" s="8">
        <v>0</v>
      </c>
      <c r="EI8" s="20">
        <v>160</v>
      </c>
      <c r="EK8" s="17"/>
      <c r="EL8" s="17" t="s">
        <v>37</v>
      </c>
      <c r="EM8" s="8">
        <v>0</v>
      </c>
      <c r="EN8" s="8">
        <v>0</v>
      </c>
      <c r="EO8" s="8">
        <v>0</v>
      </c>
      <c r="EP8" s="8">
        <v>0</v>
      </c>
      <c r="EQ8" s="6">
        <f t="shared" si="56"/>
        <v>0</v>
      </c>
      <c r="ER8" s="8">
        <v>672</v>
      </c>
      <c r="ES8" s="6">
        <f t="shared" si="57"/>
        <v>100</v>
      </c>
      <c r="ET8" s="6">
        <v>0</v>
      </c>
      <c r="EU8" s="6">
        <f t="shared" si="58"/>
        <v>0</v>
      </c>
      <c r="EV8" s="8">
        <v>0</v>
      </c>
      <c r="EW8" s="6">
        <f t="shared" si="59"/>
        <v>0</v>
      </c>
      <c r="EX8" s="6">
        <f t="shared" si="60"/>
        <v>0</v>
      </c>
      <c r="EY8" s="18">
        <f t="shared" si="61"/>
        <v>0</v>
      </c>
      <c r="EZ8" s="6">
        <f t="shared" si="62"/>
        <v>0</v>
      </c>
      <c r="FA8" s="6">
        <f t="shared" si="63"/>
        <v>672</v>
      </c>
      <c r="FB8" s="8">
        <v>0</v>
      </c>
      <c r="FC8" s="20">
        <v>160</v>
      </c>
      <c r="FE8" s="17"/>
      <c r="FF8" s="17" t="s">
        <v>37</v>
      </c>
      <c r="FG8" s="8">
        <v>0</v>
      </c>
      <c r="FH8" s="8">
        <v>0</v>
      </c>
      <c r="FI8" s="8">
        <v>0</v>
      </c>
      <c r="FJ8" s="8">
        <v>0</v>
      </c>
      <c r="FK8" s="6">
        <f t="shared" si="64"/>
        <v>0</v>
      </c>
      <c r="FL8" s="8">
        <v>744</v>
      </c>
      <c r="FM8" s="6">
        <f t="shared" si="65"/>
        <v>100</v>
      </c>
      <c r="FN8" s="6">
        <v>0</v>
      </c>
      <c r="FO8" s="6">
        <f t="shared" si="66"/>
        <v>0</v>
      </c>
      <c r="FP8" s="8">
        <v>0</v>
      </c>
      <c r="FQ8" s="6">
        <f t="shared" si="67"/>
        <v>0</v>
      </c>
      <c r="FR8" s="6">
        <f t="shared" si="68"/>
        <v>0</v>
      </c>
      <c r="FS8" s="18">
        <f t="shared" si="69"/>
        <v>0</v>
      </c>
      <c r="FT8" s="6">
        <f t="shared" si="70"/>
        <v>0</v>
      </c>
      <c r="FU8" s="6">
        <f t="shared" si="71"/>
        <v>744</v>
      </c>
      <c r="FV8" s="8">
        <v>0</v>
      </c>
      <c r="FW8" s="20">
        <v>160</v>
      </c>
      <c r="FY8" s="17"/>
      <c r="FZ8" s="17" t="s">
        <v>37</v>
      </c>
      <c r="GA8" s="8">
        <v>0</v>
      </c>
      <c r="GB8" s="8">
        <v>0</v>
      </c>
      <c r="GC8" s="8">
        <v>0</v>
      </c>
      <c r="GD8" s="8">
        <v>0</v>
      </c>
      <c r="GE8" s="6">
        <f t="shared" si="72"/>
        <v>0</v>
      </c>
      <c r="GF8" s="8">
        <v>720</v>
      </c>
      <c r="GG8" s="6">
        <f t="shared" si="73"/>
        <v>100</v>
      </c>
      <c r="GH8" s="6">
        <v>0</v>
      </c>
      <c r="GI8" s="6">
        <f t="shared" si="74"/>
        <v>0</v>
      </c>
      <c r="GJ8" s="8">
        <v>0</v>
      </c>
      <c r="GK8" s="6">
        <f t="shared" si="75"/>
        <v>0</v>
      </c>
      <c r="GL8" s="6">
        <f t="shared" si="76"/>
        <v>0</v>
      </c>
      <c r="GM8" s="18">
        <f t="shared" si="77"/>
        <v>0</v>
      </c>
      <c r="GN8" s="6">
        <f t="shared" si="78"/>
        <v>0</v>
      </c>
      <c r="GO8" s="6">
        <f t="shared" si="79"/>
        <v>720</v>
      </c>
      <c r="GP8" s="8">
        <v>0</v>
      </c>
      <c r="GQ8" s="20">
        <v>160</v>
      </c>
      <c r="GS8" s="17"/>
      <c r="GT8" s="17" t="s">
        <v>37</v>
      </c>
      <c r="GU8" s="8">
        <v>323.10000000000002</v>
      </c>
      <c r="GV8" s="8">
        <v>278.3</v>
      </c>
      <c r="GW8" s="107">
        <v>44.8</v>
      </c>
      <c r="GX8" s="8">
        <v>189.5</v>
      </c>
      <c r="GY8" s="6">
        <f t="shared" si="80"/>
        <v>25.47043010752688</v>
      </c>
      <c r="GZ8" s="8">
        <v>191.8</v>
      </c>
      <c r="HA8" s="6">
        <f t="shared" si="80"/>
        <v>25.77956989247312</v>
      </c>
      <c r="HB8" s="108">
        <v>39.6</v>
      </c>
      <c r="HC8" s="6">
        <f t="shared" si="80"/>
        <v>5.3225806451612909</v>
      </c>
      <c r="HD8" s="8">
        <v>0</v>
      </c>
      <c r="HE8" s="6">
        <f t="shared" si="81"/>
        <v>43.427419354838712</v>
      </c>
      <c r="HF8" s="6">
        <f t="shared" si="82"/>
        <v>43.427419354838712</v>
      </c>
      <c r="HG8" s="18">
        <f t="shared" si="83"/>
        <v>40.508764429243264</v>
      </c>
      <c r="HH8" s="6">
        <f t="shared" si="84"/>
        <v>30.005880376344084</v>
      </c>
      <c r="HI8" s="6">
        <f t="shared" si="85"/>
        <v>744.00000000000011</v>
      </c>
      <c r="HJ8" s="86">
        <v>35719</v>
      </c>
      <c r="HK8" s="20">
        <v>160</v>
      </c>
      <c r="HM8" s="17"/>
      <c r="HN8" s="17" t="s">
        <v>37</v>
      </c>
      <c r="HO8" s="109">
        <v>704.2</v>
      </c>
      <c r="HP8" s="109">
        <v>704.2</v>
      </c>
      <c r="HQ8" s="109">
        <v>0</v>
      </c>
      <c r="HR8" s="109">
        <v>0</v>
      </c>
      <c r="HS8" s="6">
        <f t="shared" si="86"/>
        <v>0</v>
      </c>
      <c r="HT8" s="109">
        <v>0</v>
      </c>
      <c r="HU8" s="6">
        <f t="shared" si="87"/>
        <v>0</v>
      </c>
      <c r="HV8" s="109">
        <v>15.8</v>
      </c>
      <c r="HW8" s="6">
        <f t="shared" si="87"/>
        <v>2.1944444444444446</v>
      </c>
      <c r="HX8" s="109">
        <v>0</v>
      </c>
      <c r="HY8" s="6">
        <f t="shared" si="88"/>
        <v>97.805555555555557</v>
      </c>
      <c r="HZ8" s="6">
        <f t="shared" si="89"/>
        <v>97.805555555555557</v>
      </c>
      <c r="IA8" s="18">
        <f t="shared" si="90"/>
        <v>0</v>
      </c>
      <c r="IB8" s="6">
        <f t="shared" si="91"/>
        <v>82.8125</v>
      </c>
      <c r="IC8" s="6">
        <f t="shared" si="92"/>
        <v>720</v>
      </c>
      <c r="ID8" s="110">
        <v>95400</v>
      </c>
      <c r="IE8" s="20">
        <v>160</v>
      </c>
      <c r="IF8" s="15">
        <v>140</v>
      </c>
    </row>
    <row r="9" spans="1:240" ht="15" x14ac:dyDescent="0.25">
      <c r="B9" s="17" t="s">
        <v>38</v>
      </c>
      <c r="C9" s="6">
        <v>0</v>
      </c>
      <c r="D9" s="6">
        <v>0</v>
      </c>
      <c r="E9" s="6">
        <v>0</v>
      </c>
      <c r="F9" s="8">
        <v>744</v>
      </c>
      <c r="G9" s="6">
        <f t="shared" si="0"/>
        <v>100</v>
      </c>
      <c r="H9" s="8">
        <v>0</v>
      </c>
      <c r="I9" s="6">
        <f t="shared" si="1"/>
        <v>0</v>
      </c>
      <c r="J9" s="15">
        <v>0</v>
      </c>
      <c r="K9" s="6">
        <f t="shared" si="2"/>
        <v>0</v>
      </c>
      <c r="L9" s="8">
        <v>0</v>
      </c>
      <c r="M9" s="8">
        <f t="shared" si="3"/>
        <v>0</v>
      </c>
      <c r="N9" s="6">
        <f t="shared" si="4"/>
        <v>0</v>
      </c>
      <c r="O9" s="18">
        <f t="shared" si="5"/>
        <v>100</v>
      </c>
      <c r="P9" s="6">
        <f t="shared" si="6"/>
        <v>0</v>
      </c>
      <c r="Q9" s="6">
        <f t="shared" si="7"/>
        <v>744</v>
      </c>
      <c r="R9" s="8">
        <v>0</v>
      </c>
      <c r="S9" s="20">
        <v>60</v>
      </c>
      <c r="V9" s="17" t="s">
        <v>38</v>
      </c>
      <c r="W9" s="6">
        <f>$V$4-Z9-AB9-AD9</f>
        <v>0</v>
      </c>
      <c r="X9" s="8">
        <v>0</v>
      </c>
      <c r="Y9" s="8">
        <v>0</v>
      </c>
      <c r="Z9" s="8">
        <v>744</v>
      </c>
      <c r="AA9" s="6">
        <f t="shared" si="9"/>
        <v>100</v>
      </c>
      <c r="AB9" s="8">
        <v>0</v>
      </c>
      <c r="AC9" s="6">
        <f t="shared" si="10"/>
        <v>0</v>
      </c>
      <c r="AD9" s="6">
        <v>0</v>
      </c>
      <c r="AE9" s="6">
        <f t="shared" si="10"/>
        <v>0</v>
      </c>
      <c r="AF9" s="8">
        <v>0</v>
      </c>
      <c r="AG9" s="6">
        <f t="shared" si="11"/>
        <v>0</v>
      </c>
      <c r="AH9" s="6">
        <f t="shared" si="12"/>
        <v>0</v>
      </c>
      <c r="AI9" s="18">
        <f t="shared" si="13"/>
        <v>100</v>
      </c>
      <c r="AJ9" s="6">
        <f t="shared" si="14"/>
        <v>0</v>
      </c>
      <c r="AK9" s="6">
        <f t="shared" si="15"/>
        <v>744</v>
      </c>
      <c r="AL9" s="8">
        <v>0</v>
      </c>
      <c r="AM9" s="20">
        <v>60</v>
      </c>
      <c r="AP9" s="17" t="s">
        <v>38</v>
      </c>
      <c r="AQ9" s="8">
        <v>0</v>
      </c>
      <c r="AR9" s="8">
        <v>0</v>
      </c>
      <c r="AS9" s="8">
        <v>0</v>
      </c>
      <c r="AT9" s="8">
        <v>720</v>
      </c>
      <c r="AU9" s="6">
        <f t="shared" si="16"/>
        <v>100</v>
      </c>
      <c r="AV9" s="8">
        <v>0</v>
      </c>
      <c r="AW9" s="6">
        <f t="shared" si="17"/>
        <v>0</v>
      </c>
      <c r="AX9" s="6">
        <v>0</v>
      </c>
      <c r="AY9" s="6">
        <f t="shared" si="18"/>
        <v>0</v>
      </c>
      <c r="AZ9" s="8">
        <v>0</v>
      </c>
      <c r="BA9" s="6">
        <f t="shared" si="19"/>
        <v>0</v>
      </c>
      <c r="BB9" s="6">
        <f t="shared" si="20"/>
        <v>0</v>
      </c>
      <c r="BC9" s="18">
        <f t="shared" si="21"/>
        <v>100</v>
      </c>
      <c r="BD9" s="6">
        <f t="shared" si="22"/>
        <v>0</v>
      </c>
      <c r="BE9" s="6">
        <f t="shared" si="23"/>
        <v>720</v>
      </c>
      <c r="BF9" s="8">
        <v>0</v>
      </c>
      <c r="BG9" s="20">
        <v>60</v>
      </c>
      <c r="BJ9" s="17" t="s">
        <v>38</v>
      </c>
      <c r="BK9" s="8">
        <v>0</v>
      </c>
      <c r="BL9" s="8">
        <v>0</v>
      </c>
      <c r="BM9" s="8">
        <v>0</v>
      </c>
      <c r="BN9" s="8">
        <v>744</v>
      </c>
      <c r="BO9" s="6">
        <f t="shared" si="24"/>
        <v>100</v>
      </c>
      <c r="BP9" s="8">
        <v>0</v>
      </c>
      <c r="BQ9" s="6">
        <f t="shared" si="25"/>
        <v>0</v>
      </c>
      <c r="BR9" s="6">
        <v>0</v>
      </c>
      <c r="BS9" s="6">
        <f t="shared" si="26"/>
        <v>0</v>
      </c>
      <c r="BT9" s="8">
        <v>0</v>
      </c>
      <c r="BU9" s="6">
        <f t="shared" si="27"/>
        <v>0</v>
      </c>
      <c r="BV9" s="6">
        <f t="shared" si="28"/>
        <v>0</v>
      </c>
      <c r="BW9" s="18">
        <f t="shared" si="29"/>
        <v>100</v>
      </c>
      <c r="BX9" s="6">
        <f t="shared" si="30"/>
        <v>0</v>
      </c>
      <c r="BY9" s="6">
        <f t="shared" si="31"/>
        <v>744</v>
      </c>
      <c r="BZ9" s="8">
        <v>0</v>
      </c>
      <c r="CA9" s="20">
        <v>60</v>
      </c>
      <c r="CD9" s="17" t="s">
        <v>38</v>
      </c>
      <c r="CE9" s="8">
        <v>0</v>
      </c>
      <c r="CF9" s="8">
        <v>0</v>
      </c>
      <c r="CG9" s="8">
        <v>0</v>
      </c>
      <c r="CH9" s="8">
        <v>0</v>
      </c>
      <c r="CI9" s="6">
        <f t="shared" si="32"/>
        <v>0</v>
      </c>
      <c r="CJ9" s="8">
        <v>720</v>
      </c>
      <c r="CK9" s="6">
        <f t="shared" si="33"/>
        <v>100</v>
      </c>
      <c r="CL9" s="6">
        <v>0</v>
      </c>
      <c r="CM9" s="6">
        <f t="shared" si="34"/>
        <v>0</v>
      </c>
      <c r="CN9" s="8">
        <v>0</v>
      </c>
      <c r="CO9" s="6">
        <f t="shared" si="35"/>
        <v>0</v>
      </c>
      <c r="CP9" s="6">
        <f t="shared" si="36"/>
        <v>0</v>
      </c>
      <c r="CQ9" s="18">
        <f t="shared" si="37"/>
        <v>0</v>
      </c>
      <c r="CR9" s="6">
        <f t="shared" si="38"/>
        <v>0</v>
      </c>
      <c r="CS9" s="6">
        <f t="shared" si="39"/>
        <v>720</v>
      </c>
      <c r="CT9" s="8">
        <v>0</v>
      </c>
      <c r="CU9" s="20">
        <v>60</v>
      </c>
      <c r="CX9" s="17" t="s">
        <v>38</v>
      </c>
      <c r="CY9" s="8">
        <v>0</v>
      </c>
      <c r="CZ9" s="8">
        <v>0</v>
      </c>
      <c r="DA9" s="8">
        <v>0</v>
      </c>
      <c r="DB9" s="8">
        <v>0</v>
      </c>
      <c r="DC9" s="6">
        <f t="shared" si="40"/>
        <v>0</v>
      </c>
      <c r="DD9" s="8">
        <v>744</v>
      </c>
      <c r="DE9" s="6">
        <f t="shared" si="41"/>
        <v>100</v>
      </c>
      <c r="DF9" s="6">
        <v>0</v>
      </c>
      <c r="DG9" s="6">
        <f t="shared" si="42"/>
        <v>0</v>
      </c>
      <c r="DH9" s="8">
        <v>0</v>
      </c>
      <c r="DI9" s="6">
        <f t="shared" si="43"/>
        <v>0</v>
      </c>
      <c r="DJ9" s="6">
        <f t="shared" si="44"/>
        <v>0</v>
      </c>
      <c r="DK9" s="18">
        <f t="shared" si="45"/>
        <v>0</v>
      </c>
      <c r="DL9" s="6">
        <f t="shared" si="46"/>
        <v>0</v>
      </c>
      <c r="DM9" s="6">
        <f t="shared" si="47"/>
        <v>744</v>
      </c>
      <c r="DN9" s="8">
        <v>0</v>
      </c>
      <c r="DO9" s="20">
        <v>60</v>
      </c>
      <c r="DR9" s="17" t="s">
        <v>38</v>
      </c>
      <c r="DS9" s="8">
        <v>0</v>
      </c>
      <c r="DT9" s="8">
        <v>0</v>
      </c>
      <c r="DU9" s="8">
        <v>0</v>
      </c>
      <c r="DV9" s="8">
        <v>0</v>
      </c>
      <c r="DW9" s="6">
        <f t="shared" si="48"/>
        <v>0</v>
      </c>
      <c r="DX9" s="8">
        <v>744</v>
      </c>
      <c r="DY9" s="6">
        <f t="shared" si="49"/>
        <v>100</v>
      </c>
      <c r="DZ9" s="6">
        <v>0</v>
      </c>
      <c r="EA9" s="6">
        <f t="shared" si="50"/>
        <v>0</v>
      </c>
      <c r="EB9" s="8">
        <v>0</v>
      </c>
      <c r="EC9" s="6">
        <f t="shared" si="51"/>
        <v>0</v>
      </c>
      <c r="ED9" s="6">
        <f t="shared" si="52"/>
        <v>0</v>
      </c>
      <c r="EE9" s="18">
        <f t="shared" si="53"/>
        <v>0</v>
      </c>
      <c r="EF9" s="6">
        <f t="shared" si="54"/>
        <v>0</v>
      </c>
      <c r="EG9" s="6">
        <f t="shared" si="55"/>
        <v>744</v>
      </c>
      <c r="EH9" s="8">
        <v>0</v>
      </c>
      <c r="EI9" s="20">
        <v>60</v>
      </c>
      <c r="EL9" s="17" t="s">
        <v>38</v>
      </c>
      <c r="EM9" s="8">
        <v>0</v>
      </c>
      <c r="EN9" s="8">
        <v>0</v>
      </c>
      <c r="EO9" s="8">
        <v>0</v>
      </c>
      <c r="EP9" s="8">
        <v>0</v>
      </c>
      <c r="EQ9" s="6">
        <f t="shared" si="56"/>
        <v>0</v>
      </c>
      <c r="ER9" s="8">
        <v>672</v>
      </c>
      <c r="ES9" s="6">
        <f t="shared" si="57"/>
        <v>100</v>
      </c>
      <c r="ET9" s="6">
        <v>0</v>
      </c>
      <c r="EU9" s="6">
        <f t="shared" si="58"/>
        <v>0</v>
      </c>
      <c r="EV9" s="8">
        <v>0</v>
      </c>
      <c r="EW9" s="6">
        <f t="shared" si="59"/>
        <v>0</v>
      </c>
      <c r="EX9" s="6">
        <f t="shared" si="60"/>
        <v>0</v>
      </c>
      <c r="EY9" s="18">
        <f t="shared" si="61"/>
        <v>0</v>
      </c>
      <c r="EZ9" s="6">
        <f t="shared" si="62"/>
        <v>0</v>
      </c>
      <c r="FA9" s="6">
        <f t="shared" si="63"/>
        <v>672</v>
      </c>
      <c r="FB9" s="8">
        <v>0</v>
      </c>
      <c r="FC9" s="20">
        <v>60</v>
      </c>
      <c r="FF9" s="17" t="s">
        <v>38</v>
      </c>
      <c r="FG9" s="8">
        <v>0</v>
      </c>
      <c r="FH9" s="8">
        <v>0</v>
      </c>
      <c r="FI9" s="8">
        <v>0</v>
      </c>
      <c r="FJ9" s="8">
        <v>0</v>
      </c>
      <c r="FK9" s="6">
        <f t="shared" si="64"/>
        <v>0</v>
      </c>
      <c r="FL9" s="8">
        <v>744</v>
      </c>
      <c r="FM9" s="6">
        <f t="shared" si="65"/>
        <v>100</v>
      </c>
      <c r="FN9" s="6">
        <v>0</v>
      </c>
      <c r="FO9" s="6">
        <f t="shared" si="66"/>
        <v>0</v>
      </c>
      <c r="FP9" s="8">
        <v>0</v>
      </c>
      <c r="FQ9" s="6">
        <f t="shared" si="67"/>
        <v>0</v>
      </c>
      <c r="FR9" s="6">
        <f t="shared" si="68"/>
        <v>0</v>
      </c>
      <c r="FS9" s="18">
        <f t="shared" si="69"/>
        <v>0</v>
      </c>
      <c r="FT9" s="6">
        <f t="shared" si="70"/>
        <v>0</v>
      </c>
      <c r="FU9" s="6">
        <f t="shared" si="71"/>
        <v>744</v>
      </c>
      <c r="FV9" s="8">
        <v>0</v>
      </c>
      <c r="FW9" s="20">
        <v>60</v>
      </c>
      <c r="FZ9" s="17" t="s">
        <v>38</v>
      </c>
      <c r="GA9" s="8">
        <v>0</v>
      </c>
      <c r="GB9" s="8">
        <v>0</v>
      </c>
      <c r="GC9" s="8">
        <v>0</v>
      </c>
      <c r="GD9" s="8">
        <v>0</v>
      </c>
      <c r="GE9" s="6">
        <f t="shared" si="72"/>
        <v>0</v>
      </c>
      <c r="GF9" s="8">
        <v>720</v>
      </c>
      <c r="GG9" s="6">
        <f t="shared" si="73"/>
        <v>100</v>
      </c>
      <c r="GH9" s="6">
        <v>0</v>
      </c>
      <c r="GI9" s="6">
        <f t="shared" si="74"/>
        <v>0</v>
      </c>
      <c r="GJ9" s="8">
        <v>0</v>
      </c>
      <c r="GK9" s="6">
        <f t="shared" si="75"/>
        <v>0</v>
      </c>
      <c r="GL9" s="6">
        <f t="shared" si="76"/>
        <v>0</v>
      </c>
      <c r="GM9" s="18">
        <f t="shared" si="77"/>
        <v>0</v>
      </c>
      <c r="GN9" s="6">
        <f t="shared" si="78"/>
        <v>0</v>
      </c>
      <c r="GO9" s="6">
        <f t="shared" si="79"/>
        <v>720</v>
      </c>
      <c r="GP9" s="8">
        <v>0</v>
      </c>
      <c r="GQ9" s="20">
        <v>60</v>
      </c>
      <c r="GT9" s="17" t="s">
        <v>38</v>
      </c>
      <c r="GU9" s="8">
        <v>0</v>
      </c>
      <c r="GV9" s="8">
        <v>0</v>
      </c>
      <c r="GW9" s="107">
        <v>0</v>
      </c>
      <c r="GX9" s="8">
        <v>0</v>
      </c>
      <c r="GY9" s="6">
        <f t="shared" si="80"/>
        <v>0</v>
      </c>
      <c r="GZ9" s="8">
        <v>744</v>
      </c>
      <c r="HA9" s="6">
        <f t="shared" si="80"/>
        <v>100</v>
      </c>
      <c r="HB9" s="108">
        <v>0</v>
      </c>
      <c r="HC9" s="6">
        <f t="shared" si="80"/>
        <v>0</v>
      </c>
      <c r="HD9" s="8">
        <v>0</v>
      </c>
      <c r="HE9" s="6">
        <f t="shared" si="81"/>
        <v>0</v>
      </c>
      <c r="HF9" s="6">
        <f t="shared" si="82"/>
        <v>0</v>
      </c>
      <c r="HG9" s="18">
        <f t="shared" si="83"/>
        <v>0</v>
      </c>
      <c r="HH9" s="6">
        <f t="shared" si="84"/>
        <v>0</v>
      </c>
      <c r="HI9" s="6">
        <f t="shared" si="85"/>
        <v>744</v>
      </c>
      <c r="HJ9" s="8">
        <v>0</v>
      </c>
      <c r="HK9" s="20">
        <v>60</v>
      </c>
      <c r="HN9" s="17" t="s">
        <v>38</v>
      </c>
      <c r="HO9" s="109">
        <v>0</v>
      </c>
      <c r="HP9" s="109">
        <v>0</v>
      </c>
      <c r="HQ9" s="109">
        <v>0</v>
      </c>
      <c r="HR9" s="109">
        <v>0</v>
      </c>
      <c r="HS9" s="6">
        <f t="shared" si="86"/>
        <v>0</v>
      </c>
      <c r="HT9" s="109">
        <v>720</v>
      </c>
      <c r="HU9" s="6">
        <f t="shared" si="87"/>
        <v>100</v>
      </c>
      <c r="HV9" s="109">
        <v>0</v>
      </c>
      <c r="HW9" s="6">
        <f t="shared" si="87"/>
        <v>0</v>
      </c>
      <c r="HX9" s="109">
        <v>0</v>
      </c>
      <c r="HY9" s="6">
        <f t="shared" si="88"/>
        <v>0</v>
      </c>
      <c r="HZ9" s="6">
        <f t="shared" si="89"/>
        <v>0</v>
      </c>
      <c r="IA9" s="18">
        <f t="shared" si="90"/>
        <v>0</v>
      </c>
      <c r="IB9" s="6">
        <f t="shared" si="91"/>
        <v>0</v>
      </c>
      <c r="IC9" s="6">
        <f t="shared" si="92"/>
        <v>720</v>
      </c>
      <c r="ID9" s="110">
        <v>0</v>
      </c>
      <c r="IE9" s="20">
        <v>60</v>
      </c>
      <c r="IF9" s="15">
        <v>52</v>
      </c>
    </row>
    <row r="10" spans="1:240" ht="15" x14ac:dyDescent="0.25">
      <c r="B10" s="17">
        <v>7</v>
      </c>
      <c r="C10" s="6">
        <v>416.3</v>
      </c>
      <c r="D10" s="6">
        <v>416.3</v>
      </c>
      <c r="E10" s="6">
        <v>0</v>
      </c>
      <c r="F10" s="8">
        <v>327.7</v>
      </c>
      <c r="G10" s="6">
        <f t="shared" si="0"/>
        <v>44.045698924731184</v>
      </c>
      <c r="H10" s="8">
        <v>0</v>
      </c>
      <c r="I10" s="6">
        <f t="shared" si="1"/>
        <v>0</v>
      </c>
      <c r="J10" s="15">
        <v>0</v>
      </c>
      <c r="K10" s="6">
        <f t="shared" si="2"/>
        <v>0</v>
      </c>
      <c r="L10" s="8">
        <v>22</v>
      </c>
      <c r="M10" s="6">
        <f t="shared" si="3"/>
        <v>55.954301075268816</v>
      </c>
      <c r="N10" s="6">
        <f t="shared" si="4"/>
        <v>52.997311827956992</v>
      </c>
      <c r="O10" s="18">
        <f t="shared" si="5"/>
        <v>47.002688172043008</v>
      </c>
      <c r="P10" s="6">
        <f t="shared" si="6"/>
        <v>40.533602150537632</v>
      </c>
      <c r="Q10" s="6">
        <f t="shared" si="7"/>
        <v>744</v>
      </c>
      <c r="R10" s="86">
        <v>30157</v>
      </c>
      <c r="S10" s="20">
        <v>100</v>
      </c>
      <c r="V10" s="17">
        <v>7</v>
      </c>
      <c r="W10" s="6">
        <f t="shared" si="8"/>
        <v>701.3</v>
      </c>
      <c r="X10" s="8">
        <v>701.3</v>
      </c>
      <c r="Y10" s="8">
        <v>0</v>
      </c>
      <c r="Z10" s="8">
        <v>42.7</v>
      </c>
      <c r="AA10" s="6">
        <f t="shared" si="9"/>
        <v>5.739247311827957</v>
      </c>
      <c r="AB10" s="8">
        <v>0</v>
      </c>
      <c r="AC10" s="6">
        <f t="shared" si="10"/>
        <v>0</v>
      </c>
      <c r="AD10" s="6">
        <v>0</v>
      </c>
      <c r="AE10" s="6">
        <f t="shared" si="10"/>
        <v>0</v>
      </c>
      <c r="AF10" s="8">
        <v>16</v>
      </c>
      <c r="AG10" s="6">
        <f t="shared" si="11"/>
        <v>94.260752688172033</v>
      </c>
      <c r="AH10" s="6">
        <f t="shared" si="12"/>
        <v>92.11021505376344</v>
      </c>
      <c r="AI10" s="18">
        <f t="shared" si="13"/>
        <v>7.8897849462365599</v>
      </c>
      <c r="AJ10" s="6">
        <f t="shared" si="14"/>
        <v>69.833333333333343</v>
      </c>
      <c r="AK10" s="6">
        <f t="shared" si="15"/>
        <v>744</v>
      </c>
      <c r="AL10" s="86">
        <v>51956</v>
      </c>
      <c r="AM10" s="20">
        <v>100</v>
      </c>
      <c r="AP10" s="17">
        <v>7</v>
      </c>
      <c r="AQ10" s="8">
        <v>717</v>
      </c>
      <c r="AR10" s="8">
        <v>717</v>
      </c>
      <c r="AS10" s="8">
        <v>0</v>
      </c>
      <c r="AT10" s="8">
        <v>3</v>
      </c>
      <c r="AU10" s="6">
        <f t="shared" si="16"/>
        <v>0.41666666666666669</v>
      </c>
      <c r="AV10" s="8">
        <v>0</v>
      </c>
      <c r="AW10" s="6">
        <f t="shared" si="17"/>
        <v>0</v>
      </c>
      <c r="AX10" s="6">
        <v>0</v>
      </c>
      <c r="AY10" s="6">
        <f t="shared" si="18"/>
        <v>0</v>
      </c>
      <c r="AZ10" s="8">
        <v>32</v>
      </c>
      <c r="BA10" s="6">
        <f t="shared" si="19"/>
        <v>99.583333333333329</v>
      </c>
      <c r="BB10" s="6">
        <f t="shared" si="20"/>
        <v>95.138888888888886</v>
      </c>
      <c r="BC10" s="18">
        <f t="shared" si="21"/>
        <v>4.8611111111111116</v>
      </c>
      <c r="BD10" s="6">
        <f t="shared" si="22"/>
        <v>77.334722222222211</v>
      </c>
      <c r="BE10" s="6">
        <f t="shared" si="23"/>
        <v>720</v>
      </c>
      <c r="BF10" s="86">
        <v>55681</v>
      </c>
      <c r="BG10" s="20">
        <v>100</v>
      </c>
      <c r="BJ10" s="17">
        <v>7</v>
      </c>
      <c r="BK10" s="8">
        <v>29.7</v>
      </c>
      <c r="BL10" s="8">
        <v>29.7</v>
      </c>
      <c r="BM10" s="8">
        <v>0</v>
      </c>
      <c r="BN10" s="8">
        <v>714.3</v>
      </c>
      <c r="BO10" s="6">
        <f t="shared" si="24"/>
        <v>96.008064516129025</v>
      </c>
      <c r="BP10" s="8">
        <v>0</v>
      </c>
      <c r="BQ10" s="6">
        <f t="shared" si="25"/>
        <v>0</v>
      </c>
      <c r="BR10" s="6">
        <v>0</v>
      </c>
      <c r="BS10" s="6">
        <f t="shared" si="26"/>
        <v>0</v>
      </c>
      <c r="BT10" s="8">
        <v>0</v>
      </c>
      <c r="BU10" s="6">
        <f t="shared" si="27"/>
        <v>3.9919354838709675</v>
      </c>
      <c r="BV10" s="6">
        <f t="shared" si="28"/>
        <v>3.9919354838709675</v>
      </c>
      <c r="BW10" s="18">
        <f t="shared" si="29"/>
        <v>96.008064516129025</v>
      </c>
      <c r="BX10" s="6">
        <f t="shared" si="30"/>
        <v>2.76747311827957</v>
      </c>
      <c r="BY10" s="6">
        <f t="shared" si="31"/>
        <v>744</v>
      </c>
      <c r="BZ10" s="86">
        <v>2059</v>
      </c>
      <c r="CA10" s="20">
        <v>100</v>
      </c>
      <c r="CD10" s="17">
        <v>7</v>
      </c>
      <c r="CE10" s="8">
        <v>0</v>
      </c>
      <c r="CF10" s="8">
        <v>0</v>
      </c>
      <c r="CG10" s="8">
        <v>0</v>
      </c>
      <c r="CH10" s="8">
        <v>360</v>
      </c>
      <c r="CI10" s="6">
        <f t="shared" si="32"/>
        <v>50</v>
      </c>
      <c r="CJ10" s="8">
        <v>0</v>
      </c>
      <c r="CK10" s="6">
        <f t="shared" si="33"/>
        <v>0</v>
      </c>
      <c r="CL10" s="6">
        <v>360</v>
      </c>
      <c r="CM10" s="6">
        <f t="shared" si="34"/>
        <v>50</v>
      </c>
      <c r="CN10" s="8">
        <v>0</v>
      </c>
      <c r="CO10" s="6">
        <f t="shared" si="35"/>
        <v>0</v>
      </c>
      <c r="CP10" s="6">
        <f t="shared" si="36"/>
        <v>0</v>
      </c>
      <c r="CQ10" s="18">
        <f t="shared" si="37"/>
        <v>100</v>
      </c>
      <c r="CR10" s="6">
        <f t="shared" si="38"/>
        <v>0</v>
      </c>
      <c r="CS10" s="6">
        <f t="shared" si="39"/>
        <v>720</v>
      </c>
      <c r="CT10" s="8">
        <v>0</v>
      </c>
      <c r="CU10" s="20">
        <v>100</v>
      </c>
      <c r="CX10" s="17">
        <v>7</v>
      </c>
      <c r="CY10" s="8">
        <v>0</v>
      </c>
      <c r="CZ10" s="8">
        <v>0</v>
      </c>
      <c r="DA10" s="8">
        <v>0</v>
      </c>
      <c r="DB10" s="8">
        <v>0</v>
      </c>
      <c r="DC10" s="6">
        <f t="shared" si="40"/>
        <v>0</v>
      </c>
      <c r="DD10" s="8">
        <v>744</v>
      </c>
      <c r="DE10" s="6">
        <f t="shared" si="41"/>
        <v>100</v>
      </c>
      <c r="DF10" s="6">
        <v>0</v>
      </c>
      <c r="DG10" s="6">
        <f t="shared" si="42"/>
        <v>0</v>
      </c>
      <c r="DH10" s="8">
        <v>0</v>
      </c>
      <c r="DI10" s="6">
        <f t="shared" si="43"/>
        <v>0</v>
      </c>
      <c r="DJ10" s="6">
        <f t="shared" si="44"/>
        <v>0</v>
      </c>
      <c r="DK10" s="18">
        <f t="shared" si="45"/>
        <v>0</v>
      </c>
      <c r="DL10" s="6">
        <f t="shared" si="46"/>
        <v>0</v>
      </c>
      <c r="DM10" s="6">
        <f t="shared" si="47"/>
        <v>744</v>
      </c>
      <c r="DN10" s="8">
        <v>0</v>
      </c>
      <c r="DO10" s="20">
        <v>100</v>
      </c>
      <c r="DR10" s="17">
        <v>7</v>
      </c>
      <c r="DS10" s="8">
        <v>0</v>
      </c>
      <c r="DT10" s="8">
        <v>0</v>
      </c>
      <c r="DU10" s="8">
        <v>0</v>
      </c>
      <c r="DV10" s="8">
        <v>0</v>
      </c>
      <c r="DW10" s="6">
        <f t="shared" si="48"/>
        <v>0</v>
      </c>
      <c r="DX10" s="8">
        <v>744</v>
      </c>
      <c r="DY10" s="6">
        <f t="shared" si="49"/>
        <v>100</v>
      </c>
      <c r="DZ10" s="6">
        <v>0</v>
      </c>
      <c r="EA10" s="6">
        <f t="shared" si="50"/>
        <v>0</v>
      </c>
      <c r="EB10" s="8">
        <v>0</v>
      </c>
      <c r="EC10" s="6">
        <f t="shared" si="51"/>
        <v>0</v>
      </c>
      <c r="ED10" s="6">
        <f t="shared" si="52"/>
        <v>0</v>
      </c>
      <c r="EE10" s="18">
        <f t="shared" si="53"/>
        <v>0</v>
      </c>
      <c r="EF10" s="6">
        <f t="shared" si="54"/>
        <v>0</v>
      </c>
      <c r="EG10" s="6">
        <f t="shared" si="55"/>
        <v>744</v>
      </c>
      <c r="EH10" s="8">
        <v>0</v>
      </c>
      <c r="EI10" s="20">
        <v>100</v>
      </c>
      <c r="EL10" s="17">
        <v>7</v>
      </c>
      <c r="EM10" s="8">
        <v>0</v>
      </c>
      <c r="EN10" s="8">
        <v>0</v>
      </c>
      <c r="EO10" s="8">
        <v>0</v>
      </c>
      <c r="EP10" s="8">
        <v>0</v>
      </c>
      <c r="EQ10" s="6">
        <f t="shared" si="56"/>
        <v>0</v>
      </c>
      <c r="ER10" s="8">
        <v>672</v>
      </c>
      <c r="ES10" s="6">
        <f t="shared" si="57"/>
        <v>100</v>
      </c>
      <c r="ET10" s="6">
        <v>0</v>
      </c>
      <c r="EU10" s="6">
        <f t="shared" si="58"/>
        <v>0</v>
      </c>
      <c r="EV10" s="8">
        <v>0</v>
      </c>
      <c r="EW10" s="6">
        <f t="shared" si="59"/>
        <v>0</v>
      </c>
      <c r="EX10" s="6">
        <f t="shared" si="60"/>
        <v>0</v>
      </c>
      <c r="EY10" s="18">
        <f t="shared" si="61"/>
        <v>0</v>
      </c>
      <c r="EZ10" s="6">
        <f t="shared" si="62"/>
        <v>0</v>
      </c>
      <c r="FA10" s="6">
        <f t="shared" si="63"/>
        <v>672</v>
      </c>
      <c r="FB10" s="8">
        <v>0</v>
      </c>
      <c r="FC10" s="20">
        <v>100</v>
      </c>
      <c r="FF10" s="17">
        <v>7</v>
      </c>
      <c r="FG10" s="8">
        <v>0</v>
      </c>
      <c r="FH10" s="8">
        <v>0</v>
      </c>
      <c r="FI10" s="8">
        <v>0</v>
      </c>
      <c r="FJ10" s="8">
        <v>0</v>
      </c>
      <c r="FK10" s="6">
        <f t="shared" si="64"/>
        <v>0</v>
      </c>
      <c r="FL10" s="8">
        <v>744</v>
      </c>
      <c r="FM10" s="6">
        <f t="shared" si="65"/>
        <v>100</v>
      </c>
      <c r="FN10" s="6">
        <v>0</v>
      </c>
      <c r="FO10" s="6">
        <f t="shared" si="66"/>
        <v>0</v>
      </c>
      <c r="FP10" s="8">
        <v>0</v>
      </c>
      <c r="FQ10" s="6">
        <f t="shared" si="67"/>
        <v>0</v>
      </c>
      <c r="FR10" s="6">
        <f t="shared" si="68"/>
        <v>0</v>
      </c>
      <c r="FS10" s="18">
        <f t="shared" si="69"/>
        <v>0</v>
      </c>
      <c r="FT10" s="6">
        <f t="shared" si="70"/>
        <v>0</v>
      </c>
      <c r="FU10" s="6">
        <f t="shared" si="71"/>
        <v>744</v>
      </c>
      <c r="FV10" s="8">
        <v>0</v>
      </c>
      <c r="FW10" s="20">
        <v>100</v>
      </c>
      <c r="FZ10" s="17">
        <v>7</v>
      </c>
      <c r="GA10" s="8">
        <v>0</v>
      </c>
      <c r="GB10" s="8">
        <v>0</v>
      </c>
      <c r="GC10" s="8">
        <v>0</v>
      </c>
      <c r="GD10" s="8">
        <v>0</v>
      </c>
      <c r="GE10" s="6">
        <f t="shared" si="72"/>
        <v>0</v>
      </c>
      <c r="GF10" s="8">
        <v>720</v>
      </c>
      <c r="GG10" s="6">
        <f t="shared" si="73"/>
        <v>100</v>
      </c>
      <c r="GH10" s="6">
        <v>0</v>
      </c>
      <c r="GI10" s="6">
        <f t="shared" si="74"/>
        <v>0</v>
      </c>
      <c r="GJ10" s="8">
        <v>0</v>
      </c>
      <c r="GK10" s="6">
        <f t="shared" si="75"/>
        <v>0</v>
      </c>
      <c r="GL10" s="6">
        <f t="shared" si="76"/>
        <v>0</v>
      </c>
      <c r="GM10" s="18">
        <f t="shared" si="77"/>
        <v>0</v>
      </c>
      <c r="GN10" s="6">
        <f t="shared" si="78"/>
        <v>0</v>
      </c>
      <c r="GO10" s="6">
        <f t="shared" si="79"/>
        <v>720</v>
      </c>
      <c r="GP10" s="8">
        <v>0</v>
      </c>
      <c r="GQ10" s="20">
        <v>100</v>
      </c>
      <c r="GT10" s="17">
        <v>7</v>
      </c>
      <c r="GU10" s="8">
        <v>0</v>
      </c>
      <c r="GV10" s="8">
        <v>0</v>
      </c>
      <c r="GW10" s="107">
        <v>0</v>
      </c>
      <c r="GX10" s="8">
        <v>0</v>
      </c>
      <c r="GY10" s="6">
        <f t="shared" si="80"/>
        <v>0</v>
      </c>
      <c r="GZ10" s="8">
        <v>744</v>
      </c>
      <c r="HA10" s="6">
        <f t="shared" si="80"/>
        <v>100</v>
      </c>
      <c r="HB10" s="108">
        <v>0</v>
      </c>
      <c r="HC10" s="6">
        <f t="shared" si="80"/>
        <v>0</v>
      </c>
      <c r="HD10" s="8">
        <v>0</v>
      </c>
      <c r="HE10" s="6">
        <f t="shared" si="81"/>
        <v>0</v>
      </c>
      <c r="HF10" s="6">
        <f t="shared" si="82"/>
        <v>0</v>
      </c>
      <c r="HG10" s="18">
        <f t="shared" si="83"/>
        <v>0</v>
      </c>
      <c r="HH10" s="6">
        <f t="shared" si="84"/>
        <v>0</v>
      </c>
      <c r="HI10" s="6">
        <f t="shared" si="85"/>
        <v>744</v>
      </c>
      <c r="HJ10" s="8">
        <v>0</v>
      </c>
      <c r="HK10" s="20">
        <v>100</v>
      </c>
      <c r="HN10" s="17">
        <v>7</v>
      </c>
      <c r="HO10" s="109">
        <v>0</v>
      </c>
      <c r="HP10" s="109">
        <v>0</v>
      </c>
      <c r="HQ10" s="109">
        <v>0</v>
      </c>
      <c r="HR10" s="109">
        <v>0</v>
      </c>
      <c r="HS10" s="6">
        <f t="shared" si="86"/>
        <v>0</v>
      </c>
      <c r="HT10" s="109">
        <v>720</v>
      </c>
      <c r="HU10" s="6">
        <f t="shared" si="87"/>
        <v>100</v>
      </c>
      <c r="HV10" s="109">
        <v>0</v>
      </c>
      <c r="HW10" s="6">
        <f t="shared" si="87"/>
        <v>0</v>
      </c>
      <c r="HX10" s="109">
        <v>0</v>
      </c>
      <c r="HY10" s="6">
        <f t="shared" si="88"/>
        <v>0</v>
      </c>
      <c r="HZ10" s="6">
        <f t="shared" si="89"/>
        <v>0</v>
      </c>
      <c r="IA10" s="18">
        <f t="shared" si="90"/>
        <v>0</v>
      </c>
      <c r="IB10" s="6">
        <f t="shared" si="91"/>
        <v>0</v>
      </c>
      <c r="IC10" s="6">
        <f t="shared" si="92"/>
        <v>720</v>
      </c>
      <c r="ID10" s="110">
        <v>0</v>
      </c>
      <c r="IE10" s="20">
        <v>100</v>
      </c>
      <c r="IF10" s="20">
        <v>100</v>
      </c>
    </row>
    <row r="11" spans="1:240" ht="15" x14ac:dyDescent="0.25">
      <c r="A11" s="17"/>
      <c r="B11" s="17">
        <v>9</v>
      </c>
      <c r="C11" s="6">
        <v>413.1</v>
      </c>
      <c r="D11" s="6">
        <v>413.1</v>
      </c>
      <c r="E11" s="6">
        <v>0</v>
      </c>
      <c r="F11" s="8">
        <v>330.9</v>
      </c>
      <c r="G11" s="6">
        <f t="shared" si="0"/>
        <v>44.475806451612897</v>
      </c>
      <c r="H11" s="8">
        <v>0</v>
      </c>
      <c r="I11" s="6">
        <f t="shared" si="1"/>
        <v>0</v>
      </c>
      <c r="J11" s="15">
        <v>0</v>
      </c>
      <c r="K11" s="6">
        <f t="shared" si="2"/>
        <v>0</v>
      </c>
      <c r="L11" s="8">
        <v>60</v>
      </c>
      <c r="M11" s="6">
        <f t="shared" si="3"/>
        <v>55.524193548387103</v>
      </c>
      <c r="N11" s="6">
        <f t="shared" si="4"/>
        <v>47.45967741935484</v>
      </c>
      <c r="O11" s="18">
        <f t="shared" si="5"/>
        <v>52.54032258064516</v>
      </c>
      <c r="P11" s="6">
        <f t="shared" si="6"/>
        <v>38.932795698924735</v>
      </c>
      <c r="Q11" s="6">
        <f t="shared" si="7"/>
        <v>744</v>
      </c>
      <c r="R11" s="86">
        <v>28966</v>
      </c>
      <c r="S11" s="20">
        <v>100</v>
      </c>
      <c r="U11" s="17"/>
      <c r="V11" s="17">
        <v>9</v>
      </c>
      <c r="W11" s="6">
        <f t="shared" si="8"/>
        <v>710.6</v>
      </c>
      <c r="X11" s="8">
        <v>710.6</v>
      </c>
      <c r="Y11" s="8">
        <v>0</v>
      </c>
      <c r="Z11" s="8">
        <v>33.4</v>
      </c>
      <c r="AA11" s="6">
        <f t="shared" si="9"/>
        <v>4.489247311827957</v>
      </c>
      <c r="AB11" s="8">
        <v>0</v>
      </c>
      <c r="AC11" s="6">
        <f t="shared" si="10"/>
        <v>0</v>
      </c>
      <c r="AD11" s="6">
        <v>0</v>
      </c>
      <c r="AE11" s="6">
        <f t="shared" si="10"/>
        <v>0</v>
      </c>
      <c r="AF11" s="8">
        <v>0</v>
      </c>
      <c r="AG11" s="6">
        <f t="shared" si="11"/>
        <v>95.510752688172047</v>
      </c>
      <c r="AH11" s="6">
        <f t="shared" si="12"/>
        <v>95.510752688172047</v>
      </c>
      <c r="AI11" s="18">
        <f t="shared" si="13"/>
        <v>4.489247311827957</v>
      </c>
      <c r="AJ11" s="6">
        <f t="shared" si="14"/>
        <v>71.052419354838719</v>
      </c>
      <c r="AK11" s="6">
        <f t="shared" si="15"/>
        <v>744</v>
      </c>
      <c r="AL11" s="86">
        <v>52863</v>
      </c>
      <c r="AM11" s="20">
        <v>100</v>
      </c>
      <c r="AO11" s="17"/>
      <c r="AP11" s="17">
        <v>9</v>
      </c>
      <c r="AQ11" s="8">
        <v>643.70000000000005</v>
      </c>
      <c r="AR11" s="8">
        <v>643.70000000000005</v>
      </c>
      <c r="AS11" s="8">
        <v>0</v>
      </c>
      <c r="AT11" s="8">
        <v>4.7</v>
      </c>
      <c r="AU11" s="6">
        <f t="shared" si="16"/>
        <v>0.65277777777777779</v>
      </c>
      <c r="AV11" s="8">
        <v>71.599999999999994</v>
      </c>
      <c r="AW11" s="6">
        <f t="shared" si="17"/>
        <v>9.9444444444444429</v>
      </c>
      <c r="AX11" s="6">
        <v>0</v>
      </c>
      <c r="AY11" s="6">
        <f t="shared" si="18"/>
        <v>0</v>
      </c>
      <c r="AZ11" s="8">
        <v>48</v>
      </c>
      <c r="BA11" s="6">
        <f t="shared" si="19"/>
        <v>89.402777777777786</v>
      </c>
      <c r="BB11" s="6">
        <f t="shared" si="20"/>
        <v>82.736111111111114</v>
      </c>
      <c r="BC11" s="18">
        <f t="shared" si="21"/>
        <v>8.1276989512646498</v>
      </c>
      <c r="BD11" s="6">
        <f t="shared" si="22"/>
        <v>66.522222222222226</v>
      </c>
      <c r="BE11" s="6">
        <f t="shared" si="23"/>
        <v>720.00000000000011</v>
      </c>
      <c r="BF11" s="86">
        <v>47896</v>
      </c>
      <c r="BG11" s="20">
        <v>100</v>
      </c>
      <c r="BI11" s="17"/>
      <c r="BJ11" s="17">
        <v>9</v>
      </c>
      <c r="BK11" s="8">
        <v>662.8</v>
      </c>
      <c r="BL11" s="8">
        <v>662.8</v>
      </c>
      <c r="BM11" s="8">
        <v>0</v>
      </c>
      <c r="BN11" s="8">
        <v>1.4</v>
      </c>
      <c r="BO11" s="6">
        <f t="shared" si="24"/>
        <v>0.18817204301075269</v>
      </c>
      <c r="BP11" s="8">
        <v>0</v>
      </c>
      <c r="BQ11" s="6">
        <f t="shared" si="25"/>
        <v>0</v>
      </c>
      <c r="BR11" s="6">
        <v>79.8</v>
      </c>
      <c r="BS11" s="6">
        <f t="shared" si="26"/>
        <v>10.725806451612902</v>
      </c>
      <c r="BT11" s="8">
        <v>4</v>
      </c>
      <c r="BU11" s="6">
        <f t="shared" si="27"/>
        <v>89.086021505376337</v>
      </c>
      <c r="BV11" s="6">
        <f t="shared" si="28"/>
        <v>88.548387096774178</v>
      </c>
      <c r="BW11" s="18">
        <f t="shared" si="29"/>
        <v>0.81300813008130091</v>
      </c>
      <c r="BX11" s="6">
        <f t="shared" si="30"/>
        <v>69.317204301075265</v>
      </c>
      <c r="BY11" s="6">
        <f t="shared" si="31"/>
        <v>743.99999999999989</v>
      </c>
      <c r="BZ11" s="86">
        <v>51572</v>
      </c>
      <c r="CA11" s="20">
        <v>100</v>
      </c>
      <c r="CC11" s="17"/>
      <c r="CD11" s="17">
        <v>9</v>
      </c>
      <c r="CE11" s="8">
        <v>664</v>
      </c>
      <c r="CF11" s="8">
        <v>664</v>
      </c>
      <c r="CG11" s="8">
        <v>0</v>
      </c>
      <c r="CH11" s="8">
        <v>0.2</v>
      </c>
      <c r="CI11" s="6">
        <f t="shared" si="32"/>
        <v>2.7777777777777776E-2</v>
      </c>
      <c r="CJ11" s="8">
        <v>0</v>
      </c>
      <c r="CK11" s="6">
        <f t="shared" si="33"/>
        <v>0</v>
      </c>
      <c r="CL11" s="6">
        <v>55.8</v>
      </c>
      <c r="CM11" s="6">
        <f t="shared" si="34"/>
        <v>7.75</v>
      </c>
      <c r="CN11" s="8">
        <v>0</v>
      </c>
      <c r="CO11" s="6">
        <f t="shared" si="35"/>
        <v>92.222222222222229</v>
      </c>
      <c r="CP11" s="6">
        <f t="shared" si="36"/>
        <v>92.222222222222229</v>
      </c>
      <c r="CQ11" s="18">
        <f t="shared" si="37"/>
        <v>3.0111412225233364E-2</v>
      </c>
      <c r="CR11" s="6">
        <f t="shared" si="38"/>
        <v>67.320833333333326</v>
      </c>
      <c r="CS11" s="6">
        <f t="shared" si="39"/>
        <v>720</v>
      </c>
      <c r="CT11" s="86">
        <v>48471</v>
      </c>
      <c r="CU11" s="20">
        <v>100</v>
      </c>
      <c r="CW11" s="17"/>
      <c r="CX11" s="17">
        <v>9</v>
      </c>
      <c r="CY11" s="8">
        <v>0</v>
      </c>
      <c r="CZ11" s="8">
        <v>0</v>
      </c>
      <c r="DA11" s="8">
        <v>0</v>
      </c>
      <c r="DB11" s="8">
        <v>0</v>
      </c>
      <c r="DC11" s="6">
        <f t="shared" si="40"/>
        <v>0</v>
      </c>
      <c r="DD11" s="8">
        <v>0</v>
      </c>
      <c r="DE11" s="6">
        <f t="shared" si="41"/>
        <v>0</v>
      </c>
      <c r="DF11" s="6">
        <v>744</v>
      </c>
      <c r="DG11" s="6">
        <f t="shared" si="42"/>
        <v>100</v>
      </c>
      <c r="DH11" s="8">
        <v>0</v>
      </c>
      <c r="DI11" s="6">
        <f t="shared" si="43"/>
        <v>0</v>
      </c>
      <c r="DJ11" s="6">
        <f t="shared" si="44"/>
        <v>0</v>
      </c>
      <c r="DK11" s="18">
        <f t="shared" si="45"/>
        <v>0</v>
      </c>
      <c r="DL11" s="6">
        <f t="shared" si="46"/>
        <v>0</v>
      </c>
      <c r="DM11" s="6">
        <f t="shared" si="47"/>
        <v>744</v>
      </c>
      <c r="DN11" s="8">
        <v>0</v>
      </c>
      <c r="DO11" s="20">
        <v>100</v>
      </c>
      <c r="DQ11" s="17"/>
      <c r="DR11" s="17">
        <v>9</v>
      </c>
      <c r="DS11" s="8">
        <v>220.9</v>
      </c>
      <c r="DT11" s="8">
        <v>220.9</v>
      </c>
      <c r="DU11" s="8">
        <v>0</v>
      </c>
      <c r="DV11" s="8">
        <v>0</v>
      </c>
      <c r="DW11" s="6">
        <f t="shared" si="48"/>
        <v>0</v>
      </c>
      <c r="DX11" s="8">
        <v>0</v>
      </c>
      <c r="DY11" s="6">
        <f t="shared" si="49"/>
        <v>0</v>
      </c>
      <c r="DZ11" s="6">
        <v>523.1</v>
      </c>
      <c r="EA11" s="6">
        <f t="shared" si="50"/>
        <v>70.30913978494624</v>
      </c>
      <c r="EB11" s="8">
        <v>0</v>
      </c>
      <c r="EC11" s="6">
        <f t="shared" si="51"/>
        <v>29.690860215053767</v>
      </c>
      <c r="ED11" s="6">
        <f t="shared" si="52"/>
        <v>29.690860215053767</v>
      </c>
      <c r="EE11" s="18">
        <f t="shared" si="53"/>
        <v>0</v>
      </c>
      <c r="EF11" s="6">
        <f t="shared" si="54"/>
        <v>21.870967741935484</v>
      </c>
      <c r="EG11" s="6">
        <f t="shared" si="55"/>
        <v>744</v>
      </c>
      <c r="EH11" s="86">
        <v>16272</v>
      </c>
      <c r="EI11" s="20">
        <v>100</v>
      </c>
      <c r="EK11" s="17"/>
      <c r="EL11" s="17">
        <v>9</v>
      </c>
      <c r="EM11" s="8">
        <v>672</v>
      </c>
      <c r="EN11" s="8">
        <v>672</v>
      </c>
      <c r="EO11" s="8">
        <v>0</v>
      </c>
      <c r="EP11" s="8">
        <v>0</v>
      </c>
      <c r="EQ11" s="6">
        <f t="shared" si="56"/>
        <v>0</v>
      </c>
      <c r="ER11" s="8">
        <v>0</v>
      </c>
      <c r="ES11" s="6">
        <f t="shared" si="57"/>
        <v>0</v>
      </c>
      <c r="ET11" s="6">
        <v>0</v>
      </c>
      <c r="EU11" s="6">
        <f t="shared" si="58"/>
        <v>0</v>
      </c>
      <c r="EV11" s="8">
        <v>5.9</v>
      </c>
      <c r="EW11" s="6">
        <f t="shared" si="59"/>
        <v>90.322580645161281</v>
      </c>
      <c r="EX11" s="6">
        <f t="shared" si="60"/>
        <v>99.122023809523824</v>
      </c>
      <c r="EY11" s="18">
        <f t="shared" si="61"/>
        <v>0.87797619047619047</v>
      </c>
      <c r="EZ11" s="6">
        <f t="shared" si="62"/>
        <v>72.436011904761912</v>
      </c>
      <c r="FA11" s="6">
        <f t="shared" si="63"/>
        <v>672</v>
      </c>
      <c r="FB11" s="86">
        <v>48677</v>
      </c>
      <c r="FC11" s="20">
        <v>100</v>
      </c>
      <c r="FE11" s="17"/>
      <c r="FF11" s="17">
        <v>9</v>
      </c>
      <c r="FG11" s="8">
        <v>744</v>
      </c>
      <c r="FH11" s="8">
        <v>744</v>
      </c>
      <c r="FI11" s="8">
        <v>0</v>
      </c>
      <c r="FJ11" s="8">
        <v>0</v>
      </c>
      <c r="FK11" s="6">
        <f t="shared" si="64"/>
        <v>0</v>
      </c>
      <c r="FL11" s="8">
        <v>0</v>
      </c>
      <c r="FM11" s="6">
        <f t="shared" si="65"/>
        <v>0</v>
      </c>
      <c r="FN11" s="6">
        <v>0</v>
      </c>
      <c r="FO11" s="6">
        <f t="shared" si="66"/>
        <v>0</v>
      </c>
      <c r="FP11" s="8">
        <v>20.399999999999999</v>
      </c>
      <c r="FQ11" s="6">
        <f t="shared" si="67"/>
        <v>100</v>
      </c>
      <c r="FR11" s="6">
        <f t="shared" si="68"/>
        <v>97.258064516129039</v>
      </c>
      <c r="FS11" s="18">
        <f t="shared" si="69"/>
        <v>2.7419354838709675</v>
      </c>
      <c r="FT11" s="6">
        <f t="shared" si="70"/>
        <v>72.510752688172047</v>
      </c>
      <c r="FU11" s="6">
        <f t="shared" si="71"/>
        <v>744</v>
      </c>
      <c r="FV11" s="86">
        <v>53948</v>
      </c>
      <c r="FW11" s="20">
        <v>100</v>
      </c>
      <c r="FY11" s="17"/>
      <c r="FZ11" s="17">
        <v>9</v>
      </c>
      <c r="GA11" s="8">
        <v>675.5</v>
      </c>
      <c r="GB11" s="8">
        <v>675.5</v>
      </c>
      <c r="GC11" s="8">
        <v>0</v>
      </c>
      <c r="GD11" s="8">
        <v>44.5</v>
      </c>
      <c r="GE11" s="6">
        <f t="shared" si="72"/>
        <v>6.1805555555555558E-2</v>
      </c>
      <c r="GF11" s="8">
        <v>0</v>
      </c>
      <c r="GG11" s="6">
        <f t="shared" si="73"/>
        <v>0</v>
      </c>
      <c r="GH11" s="6">
        <v>0</v>
      </c>
      <c r="GI11" s="6">
        <f t="shared" si="74"/>
        <v>0</v>
      </c>
      <c r="GJ11" s="8">
        <v>36.700000000000003</v>
      </c>
      <c r="GK11" s="6">
        <f t="shared" si="75"/>
        <v>90.793010752688176</v>
      </c>
      <c r="GL11" s="6">
        <f t="shared" si="76"/>
        <v>88.722222222222214</v>
      </c>
      <c r="GM11" s="18">
        <f t="shared" si="77"/>
        <v>11.277777777777779</v>
      </c>
      <c r="GN11" s="6">
        <f t="shared" si="78"/>
        <v>67.759722222222223</v>
      </c>
      <c r="GO11" s="6">
        <f t="shared" si="79"/>
        <v>720</v>
      </c>
      <c r="GP11" s="86">
        <v>48787</v>
      </c>
      <c r="GQ11" s="20">
        <v>100</v>
      </c>
      <c r="GS11" s="17"/>
      <c r="GT11" s="17">
        <v>9</v>
      </c>
      <c r="GU11" s="8">
        <v>744</v>
      </c>
      <c r="GV11" s="8">
        <v>696.3</v>
      </c>
      <c r="GW11" s="107">
        <v>47.7</v>
      </c>
      <c r="GX11" s="8">
        <v>0</v>
      </c>
      <c r="GY11" s="6">
        <f t="shared" si="80"/>
        <v>0</v>
      </c>
      <c r="GZ11" s="8">
        <v>0</v>
      </c>
      <c r="HA11" s="6">
        <f t="shared" si="80"/>
        <v>0</v>
      </c>
      <c r="HB11" s="108">
        <v>0</v>
      </c>
      <c r="HC11" s="6">
        <f t="shared" si="80"/>
        <v>0</v>
      </c>
      <c r="HD11" s="8">
        <v>0</v>
      </c>
      <c r="HE11" s="6">
        <f t="shared" si="81"/>
        <v>100</v>
      </c>
      <c r="HF11" s="6">
        <f t="shared" si="82"/>
        <v>100</v>
      </c>
      <c r="HG11" s="18">
        <f t="shared" si="83"/>
        <v>0</v>
      </c>
      <c r="HH11" s="6">
        <f t="shared" si="84"/>
        <v>68.137096774193552</v>
      </c>
      <c r="HI11" s="6">
        <f t="shared" si="85"/>
        <v>744</v>
      </c>
      <c r="HJ11" s="86">
        <v>50694</v>
      </c>
      <c r="HK11" s="20">
        <v>100</v>
      </c>
      <c r="HM11" s="17"/>
      <c r="HN11" s="17">
        <v>9</v>
      </c>
      <c r="HO11" s="109">
        <v>720</v>
      </c>
      <c r="HP11" s="109">
        <v>720</v>
      </c>
      <c r="HQ11" s="109">
        <v>0</v>
      </c>
      <c r="HR11" s="109">
        <v>0</v>
      </c>
      <c r="HS11" s="6">
        <f t="shared" si="86"/>
        <v>0</v>
      </c>
      <c r="HT11" s="109">
        <v>0</v>
      </c>
      <c r="HU11" s="6">
        <f t="shared" si="87"/>
        <v>0</v>
      </c>
      <c r="HV11" s="109">
        <v>0</v>
      </c>
      <c r="HW11" s="6">
        <f t="shared" si="87"/>
        <v>0</v>
      </c>
      <c r="HX11" s="109">
        <v>0</v>
      </c>
      <c r="HY11" s="6">
        <f t="shared" si="88"/>
        <v>100</v>
      </c>
      <c r="HZ11" s="6">
        <f t="shared" si="89"/>
        <v>100</v>
      </c>
      <c r="IA11" s="18">
        <f t="shared" si="90"/>
        <v>0</v>
      </c>
      <c r="IB11" s="6">
        <f t="shared" si="91"/>
        <v>75.145833333333329</v>
      </c>
      <c r="IC11" s="6">
        <f t="shared" si="92"/>
        <v>720</v>
      </c>
      <c r="ID11" s="110">
        <v>54105</v>
      </c>
      <c r="IE11" s="20">
        <v>100</v>
      </c>
      <c r="IF11" s="15">
        <v>100</v>
      </c>
    </row>
    <row r="12" spans="1:240" ht="15" x14ac:dyDescent="0.25">
      <c r="A12" s="17"/>
      <c r="B12" s="24" t="s">
        <v>39</v>
      </c>
      <c r="C12" s="25">
        <f>SUM(C6:C11)</f>
        <v>2298.6</v>
      </c>
      <c r="D12" s="25">
        <f t="shared" ref="D12:H12" si="93">SUM(D6:D11)</f>
        <v>2250.1</v>
      </c>
      <c r="E12" s="25">
        <f>SUM(E6:E11)</f>
        <v>48.5</v>
      </c>
      <c r="F12" s="25">
        <f t="shared" si="93"/>
        <v>2165.4</v>
      </c>
      <c r="G12" s="26">
        <f>(G6*S6+G7*S7+G8*S8+G9*S9+G10*S10+G11*S11)/S12</f>
        <v>33.213205645161295</v>
      </c>
      <c r="H12" s="25">
        <f t="shared" si="93"/>
        <v>0</v>
      </c>
      <c r="I12" s="26">
        <f>(I6*S6+I7*S7+I8*S8+I9*S9+I10*S10+I11*S11)/S12</f>
        <v>0</v>
      </c>
      <c r="J12" s="28">
        <f>SUM(J6:J11)</f>
        <v>0</v>
      </c>
      <c r="K12" s="26">
        <f>(K6*S6+K7*S7+K8*S8+K9*S9+K10*S10+K11*S11)/S12</f>
        <v>0</v>
      </c>
      <c r="L12" s="25">
        <f>SUM(L6:L11)</f>
        <v>143</v>
      </c>
      <c r="M12" s="26">
        <f>(M6*S6+M7*S7+M8*S8+M9*S9+M10*S10+M11*S11)/S12</f>
        <v>66.786794354838719</v>
      </c>
      <c r="N12" s="7">
        <f>(N6*S6+N7*S7+N8*S8+N9*S9+N10*S10+N11*S11)/S12</f>
        <v>63.014952956989248</v>
      </c>
      <c r="O12" s="7">
        <f>(O6*S6+O7*S7+O8*S8+O9*S9+O10*S10+O11*S11)/S12</f>
        <v>36.985047043010752</v>
      </c>
      <c r="P12" s="7">
        <f>(P6*S6+P7*S7+P8*S8+P9*S9+P10*S10+P11*S11)/S12</f>
        <v>52.948588709677416</v>
      </c>
      <c r="Q12" s="30">
        <f>SUM(Q6:Q11)</f>
        <v>4464</v>
      </c>
      <c r="R12" s="102">
        <f>SUM(R6:R11)</f>
        <v>252120</v>
      </c>
      <c r="S12" s="28">
        <f>SUM(S6:S11)</f>
        <v>640</v>
      </c>
      <c r="T12" s="15"/>
      <c r="U12" s="17"/>
      <c r="V12" s="32" t="s">
        <v>39</v>
      </c>
      <c r="W12" s="29">
        <f>SUM(W6:W11)</f>
        <v>2449.1999999999998</v>
      </c>
      <c r="X12" s="29">
        <f t="shared" ref="X12" si="94">SUM(X6:X11)</f>
        <v>2311.1999999999998</v>
      </c>
      <c r="Y12" s="29">
        <f>SUM(Y6:Y11)</f>
        <v>138</v>
      </c>
      <c r="Z12" s="29">
        <f t="shared" ref="Z12" si="95">SUM(Z6:Z11)</f>
        <v>2014.8000000000002</v>
      </c>
      <c r="AA12" s="30">
        <f>(AA6*AM6+AA7*AM7+AA8*AM8+AA9*AM9+AA10*AM10+AA11*AM11)/AM12</f>
        <v>35.492691532258071</v>
      </c>
      <c r="AB12" s="29">
        <f t="shared" ref="AB12:AD12" si="96">SUM(AB6:AB11)</f>
        <v>0</v>
      </c>
      <c r="AC12" s="30">
        <f>(AC6*AM6+AC7*AM7+AC8*AM8+AC9*AM9+AC10*AM10+AC11*AM11)/AM12</f>
        <v>0</v>
      </c>
      <c r="AD12" s="29">
        <f t="shared" si="96"/>
        <v>0</v>
      </c>
      <c r="AE12" s="30">
        <f>(AE6*AM6+AE7*AM7+AE8*AM8+AE9*AM9+AE10*AM10+AE11*AM11)/AM12</f>
        <v>0</v>
      </c>
      <c r="AF12" s="29">
        <f>SUM(AF6:AF11)</f>
        <v>16</v>
      </c>
      <c r="AG12" s="26">
        <f>(AG6*AM6+AG7*AM7+AG8*AM8+AG9*AM9+AG10*AM10+AG11*AM11)/AM12</f>
        <v>64.507308467741936</v>
      </c>
      <c r="AH12" s="30">
        <f>(AH6*AM6+AH7*AM7+AH8*AM8+AH9*AM9+AH10*AM10+AH11*AM11)/AM12</f>
        <v>64.171286962365599</v>
      </c>
      <c r="AI12" s="7">
        <f>(AI6*AM6+AI7*AM7+AI8*AM8+AI9*AM9+AI10*AM10+AI11*AM11)/AM12</f>
        <v>39.186399612743529</v>
      </c>
      <c r="AJ12" s="7">
        <f>(AJ6*AM6+AJ7*AM7+AJ8*AM8+AJ9*AM9+AJ10*AM10+AJ11*AM11)/AM12</f>
        <v>46.527217741935488</v>
      </c>
      <c r="AK12" s="30">
        <f>SUM(AK6:AK11)</f>
        <v>4464</v>
      </c>
      <c r="AL12" s="102">
        <f>SUM(AL6:AL11)</f>
        <v>221544</v>
      </c>
      <c r="AM12" s="31">
        <f>SUM(AM6:AM11)</f>
        <v>640</v>
      </c>
      <c r="AN12" s="15"/>
      <c r="AO12" s="17"/>
      <c r="AP12" s="24" t="s">
        <v>39</v>
      </c>
      <c r="AQ12" s="29">
        <f>SUM(AQ6:AQ11)</f>
        <v>2735.8</v>
      </c>
      <c r="AR12" s="29">
        <f t="shared" ref="AR12:AT12" si="97">SUM(AR6:AR11)</f>
        <v>2735.8</v>
      </c>
      <c r="AS12" s="29">
        <f t="shared" si="97"/>
        <v>0</v>
      </c>
      <c r="AT12" s="29">
        <f t="shared" si="97"/>
        <v>1512.6000000000001</v>
      </c>
      <c r="AU12" s="30">
        <f>(AU6*BG6+AU7*BG7+AU8*BG8+AU9*BG9+AU10*BG10+AU11*BG11)/BG12</f>
        <v>35.387152777777779</v>
      </c>
      <c r="AV12" s="29">
        <f t="shared" ref="AV12" si="98">SUM(AV6:AV11)</f>
        <v>71.599999999999994</v>
      </c>
      <c r="AW12" s="30">
        <f>(AW6*BG6+AW7*BG7+AW8*BG8+AW9*BG9+AW10*BG10+AW11*BG11)/BG12</f>
        <v>1.5538194444444442</v>
      </c>
      <c r="AX12" s="30">
        <f>SUM(AX6:AX11)</f>
        <v>0</v>
      </c>
      <c r="AY12" s="30">
        <f>(AY6*BG6+AY7*BG7+AY8*BG8+AY9*BG9+AY10*BG10+AY11*BG11)/BG12</f>
        <v>0</v>
      </c>
      <c r="AZ12" s="29">
        <f>SUM(AZ6:AZ11)</f>
        <v>80</v>
      </c>
      <c r="BA12" s="26">
        <f>(BA6*BG6+BA7*BG7+BA8*BG8+BA9*BG9+BA10*BG10+BA11*BG11)/BG12</f>
        <v>63.059027777777786</v>
      </c>
      <c r="BB12" s="30">
        <f>(BB6*BG6+BB7*BG7+BB8*BG8+BB9*BG9+BB10*BG10+BB11*BG11)/BG12</f>
        <v>61.322916666666664</v>
      </c>
      <c r="BC12" s="7">
        <f>(BC6*BG6+BC7*BG7+BC8*BG8+BC9*BG9+BC10*BG10+BC11*BG11)/BG12</f>
        <v>37.24955365557954</v>
      </c>
      <c r="BD12" s="7">
        <f>(BD6*BG6+BD7*BG7+BD8*BG8+BD9*BG9+BD10*BG10+BD11*BG11)/BG12</f>
        <v>50.960937499999993</v>
      </c>
      <c r="BE12" s="30">
        <f>SUM(BE6:BE11)</f>
        <v>4320</v>
      </c>
      <c r="BF12" s="89">
        <f>SUM(BF6:BF11)</f>
        <v>234828</v>
      </c>
      <c r="BG12" s="31">
        <f>SUM(BG6:BG11)</f>
        <v>640</v>
      </c>
      <c r="BH12" s="15"/>
      <c r="BI12" s="17"/>
      <c r="BJ12" s="24" t="s">
        <v>39</v>
      </c>
      <c r="BK12" s="29">
        <f>SUM(BK6:BK11)</f>
        <v>1959.8000000000002</v>
      </c>
      <c r="BL12" s="29">
        <f t="shared" ref="BL12:BN12" si="99">SUM(BL6:BL11)</f>
        <v>1959.8000000000002</v>
      </c>
      <c r="BM12" s="29">
        <f>SUM(BM6:BM11)</f>
        <v>0</v>
      </c>
      <c r="BN12" s="29">
        <f t="shared" si="99"/>
        <v>2232.4</v>
      </c>
      <c r="BO12" s="30">
        <f>(BO6*CA6+BO7*CA7+BO8*CA8+BO9*CA9+BO10*CA10+BO11*CA11)/CA12</f>
        <v>49.874411962365585</v>
      </c>
      <c r="BP12" s="29">
        <f t="shared" ref="BP12" si="100">SUM(BP6:BP11)</f>
        <v>146.19999999999999</v>
      </c>
      <c r="BQ12" s="30">
        <f>(BQ6*CA6+BQ7*CA7+BQ8*CA8+BQ9*CA9+BQ10*CA10+BQ11*CA11)/CA12</f>
        <v>1.8422379032258065</v>
      </c>
      <c r="BR12" s="30">
        <f>SUM(BR6:BR11)</f>
        <v>125.6</v>
      </c>
      <c r="BS12" s="30">
        <f>(BS6*CA6+BS7*CA7+BS8*CA8+BS9*CA9+BS10*CA10+BS11*CA11)/CA12</f>
        <v>3.214885752688172</v>
      </c>
      <c r="BT12" s="29">
        <f>SUM(BT6:BT11)</f>
        <v>109</v>
      </c>
      <c r="BU12" s="26">
        <f>(BU6*CA6+BU7*CA7+BU8*CA8+BU9*CA9+BU10*CA10+BU11*CA11)/CA12</f>
        <v>45.068464381720432</v>
      </c>
      <c r="BV12" s="30">
        <f>(BV6*CA6+BV7*CA7+BV8*CA8+BV9*CA9+BV10*CA10+BV11*CA11)/CA12</f>
        <v>42.800319220430104</v>
      </c>
      <c r="BW12" s="7">
        <f>(BW6*CA6+BW7*CA7+BW8*CA8+BW9*CA9+BW10*CA10+BW11*CA11)/CA12</f>
        <v>52.527752980329453</v>
      </c>
      <c r="BX12" s="7">
        <f>(BX6*CA6+BX7*CA7+BX8*CA8+BX9*CA9+BX10*CA10+BX11*CA11)/CA12</f>
        <v>35.633400537634408</v>
      </c>
      <c r="BY12" s="30">
        <f>SUM(BY6:BY11)</f>
        <v>4464</v>
      </c>
      <c r="BZ12" s="89">
        <f>SUM(BZ6:BZ11)</f>
        <v>169672</v>
      </c>
      <c r="CA12" s="31">
        <f>SUM(CA6:CA11)</f>
        <v>640</v>
      </c>
      <c r="CB12" s="15"/>
      <c r="CC12" s="17"/>
      <c r="CD12" s="24" t="s">
        <v>39</v>
      </c>
      <c r="CE12" s="29">
        <f>SUM(CE6:CE11)</f>
        <v>1727</v>
      </c>
      <c r="CF12" s="29">
        <f t="shared" ref="CF12:CH12" si="101">SUM(CF6:CF11)</f>
        <v>1727</v>
      </c>
      <c r="CG12" s="29">
        <f>SUM(CG6:CG11)</f>
        <v>0</v>
      </c>
      <c r="CH12" s="29">
        <f t="shared" si="101"/>
        <v>402.8</v>
      </c>
      <c r="CI12" s="30">
        <f>(CI6*CU6+CI7*CU7+CI8*CU8+CI9*CU9+CI10*CU10+CI11*CU11)/CU12</f>
        <v>8.4388020833333321</v>
      </c>
      <c r="CJ12" s="29">
        <f t="shared" ref="CJ12" si="102">SUM(CJ6:CJ11)</f>
        <v>1622</v>
      </c>
      <c r="CK12" s="30">
        <f>(CK6*CU6+CK7*CU7+CK8*CU8+CK9*CU9+CK10*CU10+CK11*CU11)/CU12</f>
        <v>36.744791666666671</v>
      </c>
      <c r="CL12" s="30">
        <f>SUM(CL6:CL11)</f>
        <v>568.19999999999993</v>
      </c>
      <c r="CM12" s="30">
        <f>(CM6*CU6+CM7*CU7+CM8*CU8+CM9*CU9+CM10*CU10+CM11*CU11)/CU12</f>
        <v>12.832899305555554</v>
      </c>
      <c r="CN12" s="29">
        <f>SUM(CN6:CN11)</f>
        <v>0</v>
      </c>
      <c r="CO12" s="26">
        <f>(CO6*CU6+CO7*CU7+CO8*CU8+CO9*CU9+CO10*CU10+CO11*CU11)/CU12</f>
        <v>41.983506944444443</v>
      </c>
      <c r="CP12" s="30">
        <f>(CP6*CU6+CP7*CU7+CP8*CU8+CP9*CU9+CP10*CU10+CP11*CU11)/CU12</f>
        <v>41.983506944444443</v>
      </c>
      <c r="CQ12" s="7">
        <f>(CQ6*CU6+CQ7*CU7+CQ8*CU8+CQ9*CU9+CQ10*CU10+CQ11*CU11)/CU12</f>
        <v>16.539981588329617</v>
      </c>
      <c r="CR12" s="7">
        <f>(CR6*CU6+CR7*CU7+CR8*CU8+CR9*CU9+CR10*CU10+CR11*CU11)/CU12</f>
        <v>32.847439236111107</v>
      </c>
      <c r="CS12" s="30">
        <f>SUM(CS6:CS11)</f>
        <v>4320</v>
      </c>
      <c r="CT12" s="89">
        <f>SUM(CT6:CT11)</f>
        <v>151361</v>
      </c>
      <c r="CU12" s="31">
        <f>SUM(CU6:CU11)</f>
        <v>640</v>
      </c>
      <c r="CV12" s="15"/>
      <c r="CW12" s="17"/>
      <c r="CX12" s="24" t="s">
        <v>39</v>
      </c>
      <c r="CY12" s="29">
        <f>SUM(CY6:CY11)</f>
        <v>1432</v>
      </c>
      <c r="CZ12" s="29">
        <f t="shared" ref="CZ12:DB12" si="103">SUM(CZ6:CZ11)</f>
        <v>1432</v>
      </c>
      <c r="DA12" s="29">
        <f>SUM(DA6:DA11)</f>
        <v>0</v>
      </c>
      <c r="DB12" s="29">
        <f t="shared" si="103"/>
        <v>56</v>
      </c>
      <c r="DC12" s="30">
        <f>(DC6*DO6+DC7*DO7+DC8*DO8+DC9*DO9+DC10*DO10+DC11*DO11)/DO12</f>
        <v>1.0626680107526882</v>
      </c>
      <c r="DD12" s="29">
        <f t="shared" ref="DD12" si="104">SUM(DD6:DD11)</f>
        <v>2232</v>
      </c>
      <c r="DE12" s="30">
        <f>(DE6*DO6+DE7*DO7+DE8*DO8+DE9*DO9+DE10*DO10+DE11*DO11)/DO12</f>
        <v>50</v>
      </c>
      <c r="DF12" s="30">
        <f>SUM(DF6:DF11)</f>
        <v>744</v>
      </c>
      <c r="DG12" s="30">
        <f>(DG6*DO6+DG7*DO7+DG8*DO8+DG9*DO9+DG10*DO10+DG11*DO11)/DO12</f>
        <v>15.625</v>
      </c>
      <c r="DH12" s="29">
        <f>SUM(DH6:DH11)</f>
        <v>0</v>
      </c>
      <c r="DI12" s="26">
        <f>(DI6*DO6+DI7*DO7+DI8*DO8+DI9*DO9+DI10*DO10+DI11*DO11)/DO12</f>
        <v>33.312331989247312</v>
      </c>
      <c r="DJ12" s="30">
        <f>(DJ6*DO6+DJ7*DO7+DJ8*DO8+DJ9*DO9+DJ10*DO10+DJ11*DO11)/DO12</f>
        <v>33.312331989247312</v>
      </c>
      <c r="DK12" s="7">
        <f>(DK6*DO6+DK7*DO7+DK8*DO8+DK9*DO9+DK10*DO10+DK11*DO11)/DO12</f>
        <v>1.0626680107526882</v>
      </c>
      <c r="DL12" s="7">
        <f>(DL6*DO6+DL7*DO7+DL8*DO8+DL9*DO9+DL10*DO10+DL11*DO11)/DO12</f>
        <v>27.429225470430104</v>
      </c>
      <c r="DM12" s="30">
        <f>SUM(DM6:DM11)</f>
        <v>4464</v>
      </c>
      <c r="DN12" s="33">
        <f>SUM(DN6:DN11)</f>
        <v>130607</v>
      </c>
      <c r="DO12" s="31">
        <f>SUM(DO6:DO11)</f>
        <v>640</v>
      </c>
      <c r="DP12" s="15"/>
      <c r="DQ12" s="17"/>
      <c r="DR12" s="32" t="s">
        <v>39</v>
      </c>
      <c r="DS12" s="29">
        <f>SUM(DS6:DS11)</f>
        <v>1477.6000000000001</v>
      </c>
      <c r="DT12" s="29">
        <f t="shared" ref="DT12:DV12" si="105">SUM(DT6:DT11)</f>
        <v>1465.6000000000001</v>
      </c>
      <c r="DU12" s="29">
        <f>SUM(DU6:DU11)</f>
        <v>12</v>
      </c>
      <c r="DV12" s="29">
        <f t="shared" si="105"/>
        <v>193.8</v>
      </c>
      <c r="DW12" s="30">
        <f>(DW6*EI6+DW7*EI7+DW8*EI8+DW9*EI9+DW10*EI10+DW11*EI11)/EI12</f>
        <v>2.925067204301075</v>
      </c>
      <c r="DX12" s="29">
        <f t="shared" ref="DX12" si="106">SUM(DX6:DX11)</f>
        <v>2232</v>
      </c>
      <c r="DY12" s="30">
        <f>(DY6*EI6+DY7*EI7+DY8*EI8+DY9*EI9+DY10*EI10+DY11*EI11)/EI12</f>
        <v>50</v>
      </c>
      <c r="DZ12" s="30">
        <f>SUM(DZ6:DZ11)</f>
        <v>560.6</v>
      </c>
      <c r="EA12" s="30">
        <f>(EA6*EI6+EA7*EI7+EA8*EI8+EA9*EI9+EA10*EI10+EA11*EI11)/EI12</f>
        <v>11.821656586021506</v>
      </c>
      <c r="EB12" s="29">
        <f>SUM(EB6:EB11)</f>
        <v>115.49000000000001</v>
      </c>
      <c r="EC12" s="26">
        <f>(EC6*EI6+EC7*EI7+EC8*EI8+EC9*EI9+EC10*EI10+EC11*EI11)/EI12</f>
        <v>35.253276209677423</v>
      </c>
      <c r="ED12" s="30">
        <f>(ED6*EI6+ED7*EI7+ED8*EI8+ED9*EI9+ED10*EI10+ED11*EI11)/EI12</f>
        <v>33.444346438172047</v>
      </c>
      <c r="EE12" s="7">
        <f>(EE6*EI6+EE7*EI7+EE8*EI8+EE9*EI9+EE10*EI10+EE11*EI11)/EI12</f>
        <v>4.908425703192469</v>
      </c>
      <c r="EF12" s="7">
        <f>(EF6*EI6+EF7*EI7+EF8*EI8+EF9*EI9+EF10*EI10+EF11*EI11)/EI12</f>
        <v>27.232442876344084</v>
      </c>
      <c r="EG12" s="30">
        <f>SUM(EG6:EG11)</f>
        <v>4464</v>
      </c>
      <c r="EH12" s="89">
        <f>SUM(EH6:EH11)</f>
        <v>129670</v>
      </c>
      <c r="EI12" s="31">
        <f>SUM(EI6:EI11)</f>
        <v>640</v>
      </c>
      <c r="EJ12" s="15"/>
      <c r="EK12" s="17"/>
      <c r="EL12" s="24" t="s">
        <v>39</v>
      </c>
      <c r="EM12" s="29">
        <f>SUM(EM6:EM11)</f>
        <v>1824.4</v>
      </c>
      <c r="EN12" s="29">
        <f t="shared" ref="EN12:EP12" si="107">SUM(EN6:EN11)</f>
        <v>1824.4</v>
      </c>
      <c r="EO12" s="29">
        <f>SUM(EO6:EO11)</f>
        <v>0</v>
      </c>
      <c r="EP12" s="29">
        <f t="shared" si="107"/>
        <v>191.6</v>
      </c>
      <c r="EQ12" s="30">
        <f>(EQ6*FC6+EQ7*FC7+EQ8*FC8+EQ9*FC9+EQ10*FC10+EQ11*FC11)/FC12</f>
        <v>4.0797061011904763</v>
      </c>
      <c r="ER12" s="29">
        <f t="shared" ref="ER12" si="108">SUM(ER6:ER11)</f>
        <v>2016</v>
      </c>
      <c r="ES12" s="30">
        <f>(ES6*FC6+ES7*FC7+ES8*FC8+ES9*FC9+ES10*FC10+ES11*FC11)/FC12</f>
        <v>50</v>
      </c>
      <c r="ET12" s="30">
        <f>SUM(ET6:ET11)</f>
        <v>0</v>
      </c>
      <c r="EU12" s="30">
        <f>(EU6*FC6+EU7*FC7+EU8*FC8+EU9*FC9+EU10*FC10+EU11*FC11)/FC12</f>
        <v>0</v>
      </c>
      <c r="EV12" s="29">
        <f>SUM(EV6:EV11)</f>
        <v>7.1000000000000005</v>
      </c>
      <c r="EW12" s="26">
        <f>(EW6*FC6+EW7*FC7+EW8*FC8+EW9*FC9+EW10*FC10+EW11*FC11)/FC12</f>
        <v>41.476394489247312</v>
      </c>
      <c r="EX12" s="30">
        <f>(EX6*FC6+EX7*FC7+EX8*FC8+EX9*FC9+EX10*FC10+EX11*FC11)/FC12</f>
        <v>45.752418154761905</v>
      </c>
      <c r="EY12" s="7">
        <f>(EY6*FC6+EY7*FC7+EY8*FC8+EY9*FC9+EY10*FC10+EY11*FC11)/FC12</f>
        <v>4.2475818452380949</v>
      </c>
      <c r="EZ12" s="7">
        <f>(EZ6*FC6+EZ7*FC7+EZ8*FC8+EZ9*FC9+EZ10*FC10+EZ11*FC11)/FC12</f>
        <v>35.000465029761905</v>
      </c>
      <c r="FA12" s="30">
        <f>SUM(FA6:FA11)</f>
        <v>4032</v>
      </c>
      <c r="FB12" s="89">
        <f>SUM(FB6:FB11)</f>
        <v>150530</v>
      </c>
      <c r="FC12" s="31">
        <f>SUM(FC6:FC11)</f>
        <v>640</v>
      </c>
      <c r="FD12" s="15"/>
      <c r="FE12" s="17"/>
      <c r="FF12" s="24" t="s">
        <v>39</v>
      </c>
      <c r="FG12" s="29">
        <f>SUM(FG6:FG11)</f>
        <v>2168.3000000000002</v>
      </c>
      <c r="FH12" s="29">
        <f t="shared" ref="FH12:FJ12" si="109">SUM(FH6:FH11)</f>
        <v>2168.3000000000002</v>
      </c>
      <c r="FI12" s="29">
        <f>SUM(FI6:FI11)</f>
        <v>0</v>
      </c>
      <c r="FJ12" s="29">
        <f t="shared" si="109"/>
        <v>63.699999999999996</v>
      </c>
      <c r="FK12" s="30">
        <f>(FK6*FW6+FK7*FW7+FK8*FW8+FK9*FW9+FK10*FW10+FK11*FW11)/FW12</f>
        <v>1.2310987903225805</v>
      </c>
      <c r="FL12" s="29">
        <f t="shared" ref="FL12" si="110">SUM(FL6:FL11)</f>
        <v>2232</v>
      </c>
      <c r="FM12" s="30">
        <f>(FM6*FW6+FM7*FW7+FM8*FW8+FM9*FW9+FM10*FW10+FM11*FW11)/FW12</f>
        <v>50</v>
      </c>
      <c r="FN12" s="30">
        <f>SUM(FN6:FN11)</f>
        <v>0</v>
      </c>
      <c r="FO12" s="30">
        <f>(FO6*FW6+FO7*FW7+FO8*FW8+FO9*FW9+FO10*FW10+FO11*FW11)/FW12</f>
        <v>0</v>
      </c>
      <c r="FP12" s="29">
        <f>SUM(FP6:FP11)</f>
        <v>33.4</v>
      </c>
      <c r="FQ12" s="26">
        <f>(FQ6*FW6+FQ7*FW7+FQ8*FW8+FQ9*FW9+FQ10*FW10+FQ11*FW11)/FW12</f>
        <v>48.768901209677423</v>
      </c>
      <c r="FR12" s="30">
        <f>(FR6*FW6+FR7*FW7+FR8*FW8+FR9*FW9+FR10*FW10+FR11*FW11)/FW12</f>
        <v>48.040154569892479</v>
      </c>
      <c r="FS12" s="7">
        <f>(FS6*FW6+FS7*FW7+FS8*FW8+FS9*FW9+FS10*FW10+FS11*FW11)/FW12</f>
        <v>1.9598454301075268</v>
      </c>
      <c r="FT12" s="7">
        <f>(FT6*FW6+FT7*FW7+FT8*FW8+FT9*FW9+FT10*FW10+FT11*FW11)/FW12</f>
        <v>38.139700940860223</v>
      </c>
      <c r="FU12" s="30">
        <f>SUM(FU6:FU11)</f>
        <v>4464</v>
      </c>
      <c r="FV12" s="102">
        <f>SUM(FV6:FV11)</f>
        <v>181606</v>
      </c>
      <c r="FW12" s="31">
        <f>SUM(FW6:FW11)</f>
        <v>640</v>
      </c>
      <c r="FX12" s="15"/>
      <c r="FY12" s="17"/>
      <c r="FZ12" s="24" t="s">
        <v>39</v>
      </c>
      <c r="GA12" s="29">
        <f>SUM(GA6:GA11)</f>
        <v>2087.9</v>
      </c>
      <c r="GB12" s="29">
        <f t="shared" ref="GB12:GD12" si="111">SUM(GB6:GB11)</f>
        <v>2087.9</v>
      </c>
      <c r="GC12" s="29">
        <f>SUM(GC6:GC11)</f>
        <v>0</v>
      </c>
      <c r="GD12" s="29">
        <f t="shared" si="111"/>
        <v>72.099999999999994</v>
      </c>
      <c r="GE12" s="79">
        <f>(GE6*GQ6+GE7*GQ7+GE8*GQ8+GE9*GQ9+GE10*GQ10+GE11*GQ11)/GQ12</f>
        <v>1.5225694444444443E-2</v>
      </c>
      <c r="GF12" s="29">
        <f t="shared" ref="GF12" si="112">SUM(GF6:GF11)</f>
        <v>2160</v>
      </c>
      <c r="GG12" s="30">
        <f>(GG6*GQ6+GG7*GQ7+GG8*GQ8+GG9*GQ9+GG10*GQ10+GG11*GQ11)/GQ12</f>
        <v>50</v>
      </c>
      <c r="GH12" s="30">
        <f>SUM(GH6:GH11)</f>
        <v>0</v>
      </c>
      <c r="GI12" s="30">
        <f>(GI6*GQ6+GI7*GQ7+GI8*GQ8+GI9*GQ9+GI10*GQ10+GI11*GQ11)/GQ12</f>
        <v>0</v>
      </c>
      <c r="GJ12" s="29">
        <f>SUM(GJ6:GJ11)</f>
        <v>147.19999999999999</v>
      </c>
      <c r="GK12" s="26">
        <f>(GK6*GQ6+GK7*GQ7+GK8*GQ8+GK9*GQ9+GK10*GQ10+GK11*GQ11)/GQ12</f>
        <v>46.91364247311828</v>
      </c>
      <c r="GL12" s="30">
        <f>(GL6*GQ6+GL7*GQ7+GL8*GQ8+GL9*GQ9+GL10*GQ10+GL11*GQ11)/GQ12</f>
        <v>45.0703125</v>
      </c>
      <c r="GM12" s="7">
        <f>(GM6*GQ6+GM7*GQ7+GM8*GQ8+GM9*GQ9+GM10*GQ10+GM11*GQ11)/GQ12</f>
        <v>4.9296875</v>
      </c>
      <c r="GN12" s="7">
        <f>(GN6*GQ6+GN7*GQ7+GN8*GQ8+GN9*GQ9+GN10*GQ10+GN11*GQ11)/GQ12</f>
        <v>38.019748263888886</v>
      </c>
      <c r="GO12" s="30">
        <f>SUM(GO6:GO11)</f>
        <v>4320</v>
      </c>
      <c r="GP12" s="89">
        <f>SUM(GP6:GP11)</f>
        <v>175195</v>
      </c>
      <c r="GQ12" s="31">
        <f>SUM(GQ6:GQ11)</f>
        <v>640</v>
      </c>
      <c r="GR12" s="15"/>
      <c r="GS12" s="17"/>
      <c r="GT12" s="24" t="s">
        <v>39</v>
      </c>
      <c r="GU12" s="29">
        <f>SUM(GU6:GU11)</f>
        <v>2308.4</v>
      </c>
      <c r="GV12" s="29">
        <f t="shared" ref="GV12:GX12" si="113">SUM(GV6:GV11)</f>
        <v>2215.8999999999996</v>
      </c>
      <c r="GW12" s="29">
        <f>SUM(GW6:GW11)</f>
        <v>92.5</v>
      </c>
      <c r="GX12" s="29">
        <f t="shared" si="113"/>
        <v>286.2</v>
      </c>
      <c r="GY12" s="30">
        <f>(GY6*HK6+GY7*HK7+GY8*HK8+GY9*HK9+GY10*HK10+GY11*HK11)/HK12</f>
        <v>8.587869623655914</v>
      </c>
      <c r="GZ12" s="29">
        <f t="shared" ref="GZ12" si="114">SUM(GZ6:GZ11)</f>
        <v>1679.8</v>
      </c>
      <c r="HA12" s="30">
        <f>(HA6*HK6+HA7*HK7+HA8*HK8+HA9*HK9+HA10*HK10+HA11*HK11)/HK12</f>
        <v>31.44489247311828</v>
      </c>
      <c r="HB12" s="30">
        <f>SUM(HB6:HB11)</f>
        <v>189.6</v>
      </c>
      <c r="HC12" s="30">
        <f>(HC6*HK6+HC7*HK7+HC8*HK8+HC9*HK9+HC10*HK10+HC11*HK11)/HK12</f>
        <v>4.7307627688172049</v>
      </c>
      <c r="HD12" s="29">
        <f>SUM(HD6:HD11)</f>
        <v>0</v>
      </c>
      <c r="HE12" s="26">
        <f>(HE6*HK6+HE7*HK7+HE8*HK8+HE9*HK9+HE10*HK10+HE11*HK11)/HK12</f>
        <v>55.2364751344086</v>
      </c>
      <c r="HF12" s="30">
        <f>(HF6*HK6+HF7*HK7+HF8*HK8+HF9*HK9+HF10*HK10+HF11*HK11)/HK12</f>
        <v>55.2364751344086</v>
      </c>
      <c r="HG12" s="7">
        <f>(HG6*HK6+HG7*HK7+HG8*HK8+HG9*HK9+HG10*HK10+HG11*HK11)/HK12</f>
        <v>12.591336481767144</v>
      </c>
      <c r="HH12" s="7">
        <f>(HH6*HK6+HH7*HK7+HH8*HK8+HH9*HK9+HH10*HK10+HH11*HK11)/HK12</f>
        <v>42.230972782258064</v>
      </c>
      <c r="HI12" s="30">
        <f>SUM(HI6:HI11)</f>
        <v>4464</v>
      </c>
      <c r="HJ12" s="89">
        <f>SUM(HJ6:HJ11)</f>
        <v>201087</v>
      </c>
      <c r="HK12" s="31">
        <f>SUM(HK6:HK11)</f>
        <v>640</v>
      </c>
      <c r="HL12" s="15"/>
      <c r="HM12" s="17"/>
      <c r="HN12" s="32" t="s">
        <v>39</v>
      </c>
      <c r="HO12" s="29">
        <f>SUM(HO6:HO11)</f>
        <v>2814.3999999999996</v>
      </c>
      <c r="HP12" s="29">
        <f t="shared" ref="HP12:HX12" si="115">SUM(HP6:HP11)</f>
        <v>2814.3999999999996</v>
      </c>
      <c r="HQ12" s="29">
        <f t="shared" si="115"/>
        <v>0</v>
      </c>
      <c r="HR12" s="29">
        <f t="shared" si="115"/>
        <v>12.6</v>
      </c>
      <c r="HS12" s="30">
        <f>(HS6*IE6+HS7*IE7+HS8*IE8+HS9*IE9+HS10*IE10+HS11*IE11)/IE12</f>
        <v>0.21614583333333331</v>
      </c>
      <c r="HT12" s="29">
        <f t="shared" si="115"/>
        <v>1440</v>
      </c>
      <c r="HU12" s="30">
        <f>(HU6*IE6+HU7*IE7+HU8*IE8+HU9*IE9+HU10*IE10+HU11*IE11)/IE12</f>
        <v>25</v>
      </c>
      <c r="HV12" s="29">
        <f t="shared" si="115"/>
        <v>53</v>
      </c>
      <c r="HW12" s="30">
        <f>(HW6*IE6+HW7*IE7+HW8*IE8+HW9*IE9+HW10*IE10+HW11*IE11)/IE12</f>
        <v>1.3845486111111112</v>
      </c>
      <c r="HX12" s="29">
        <f t="shared" si="115"/>
        <v>0</v>
      </c>
      <c r="HY12" s="30">
        <f>(HY6*IE6+HY7*IE7+HY8*IE8+HY9*IE9+HY10*IE10+HY11*IE11)/IE12</f>
        <v>73.399305555555557</v>
      </c>
      <c r="HZ12" s="30">
        <f>(HZ6*IE6+HZ7*IE7+HZ8*IE8+HZ9*IE9+HZ10*IE10+HZ11*IE11)/IE12</f>
        <v>73.399305555555557</v>
      </c>
      <c r="IA12" s="193">
        <f>(IA6*IE6+IA7*IE7+IA8*IE8+IA9*IE9+IA10*IE10+IA11*IE11)/IE12</f>
        <v>0.22205406700840441</v>
      </c>
      <c r="IB12" s="193">
        <f>(IB6*IE6+IB7*IE7+IB8*IE8+IB9*IE9+IB10*IE10+IB11*IE11)/IE12</f>
        <v>59.744140625</v>
      </c>
      <c r="IC12" s="30">
        <f>SUM(IC6:IC11)</f>
        <v>4320</v>
      </c>
      <c r="ID12" s="111">
        <f>SUM(ID6:ID11)</f>
        <v>275301</v>
      </c>
      <c r="IE12" s="31">
        <f>SUM(IE6:IE11)</f>
        <v>640</v>
      </c>
      <c r="IF12" s="31">
        <f>SUM(IF6:IF11)</f>
        <v>597</v>
      </c>
    </row>
    <row r="13" spans="1:240" ht="15" x14ac:dyDescent="0.25">
      <c r="A13" s="16" t="s">
        <v>40</v>
      </c>
      <c r="B13" s="17">
        <v>3</v>
      </c>
      <c r="C13" s="8">
        <v>166.75</v>
      </c>
      <c r="D13" s="8">
        <v>166.75</v>
      </c>
      <c r="E13" s="8">
        <v>0</v>
      </c>
      <c r="F13" s="8">
        <v>152</v>
      </c>
      <c r="G13" s="6">
        <f>(F13/$B$4)*100</f>
        <v>20.43010752688172</v>
      </c>
      <c r="H13" s="8">
        <v>0</v>
      </c>
      <c r="I13" s="6">
        <f>(H13/$B$4)*100</f>
        <v>0</v>
      </c>
      <c r="J13" s="6">
        <v>425.25</v>
      </c>
      <c r="K13" s="6">
        <f>(J13/$B$4)*100</f>
        <v>57.157258064516128</v>
      </c>
      <c r="L13" s="8">
        <v>65</v>
      </c>
      <c r="M13" s="6">
        <f>(C13/$B$4)*100</f>
        <v>22.412634408602152</v>
      </c>
      <c r="N13" s="6">
        <f>((C13-L13)/$B$4)*100</f>
        <v>13.676075268817204</v>
      </c>
      <c r="O13" s="18">
        <f t="shared" ref="O13:O32" si="116">IF((AND(D13=0,F13=0)),0,(F13+L13)/(D13+F13)*100)</f>
        <v>68.078431372549019</v>
      </c>
      <c r="P13" s="6">
        <f>(R13/($B$4*S13))*100</f>
        <v>12.635653126244526</v>
      </c>
      <c r="Q13" s="6">
        <f>SUM(D13:F13,H13,J13)</f>
        <v>744</v>
      </c>
      <c r="R13" s="86">
        <v>20306</v>
      </c>
      <c r="S13" s="20">
        <v>216</v>
      </c>
      <c r="U13" s="16" t="s">
        <v>40</v>
      </c>
      <c r="V13" s="17">
        <v>3</v>
      </c>
      <c r="W13" s="8">
        <f>$V$4-Z13-AB13</f>
        <v>677.5</v>
      </c>
      <c r="X13" s="8">
        <v>677.5</v>
      </c>
      <c r="Y13" s="8">
        <v>0</v>
      </c>
      <c r="Z13" s="8">
        <v>66.5</v>
      </c>
      <c r="AA13" s="6">
        <f t="shared" ref="AA13:AA42" si="117">(Z13/$V$4)*100</f>
        <v>8.9381720430107539</v>
      </c>
      <c r="AB13" s="8">
        <v>0</v>
      </c>
      <c r="AC13" s="6">
        <f t="shared" ref="AC13:AE44" si="118">(AB13/$V$4)*100</f>
        <v>0</v>
      </c>
      <c r="AD13" s="6">
        <v>0</v>
      </c>
      <c r="AE13" s="6">
        <f t="shared" si="118"/>
        <v>0</v>
      </c>
      <c r="AF13" s="8">
        <v>51</v>
      </c>
      <c r="AG13" s="6">
        <f>(W13/$V$4)*100</f>
        <v>91.061827956989248</v>
      </c>
      <c r="AH13" s="6">
        <f t="shared" ref="AH13:AH42" si="119">((W13-AF13)/$V$4)*100</f>
        <v>84.206989247311824</v>
      </c>
      <c r="AI13" s="18">
        <f t="shared" ref="AI13:AI42" si="120">IF((AND(X13=0,Z13=0)),0,(Z13+AF13)/(X13+Z13)*100)</f>
        <v>15.793010752688172</v>
      </c>
      <c r="AJ13" s="6">
        <f>(AL13/($V$4*AM13))*100</f>
        <v>64.186330147351654</v>
      </c>
      <c r="AK13" s="6">
        <f>SUM(X13:Z13,AB13,AD13)</f>
        <v>744</v>
      </c>
      <c r="AL13" s="86">
        <v>103150</v>
      </c>
      <c r="AM13" s="20">
        <v>216</v>
      </c>
      <c r="AO13" s="16" t="s">
        <v>40</v>
      </c>
      <c r="AP13" s="17">
        <v>3</v>
      </c>
      <c r="AQ13" s="8">
        <v>720</v>
      </c>
      <c r="AR13" s="8">
        <v>720</v>
      </c>
      <c r="AS13" s="8">
        <v>0</v>
      </c>
      <c r="AT13" s="8">
        <v>0</v>
      </c>
      <c r="AU13" s="6">
        <f t="shared" ref="AU13:AU51" si="121">(AT13/$AP$4)*100</f>
        <v>0</v>
      </c>
      <c r="AV13" s="8">
        <v>0</v>
      </c>
      <c r="AW13" s="6">
        <f t="shared" ref="AW13:AW51" si="122">(AV13/$AP$4)*100</f>
        <v>0</v>
      </c>
      <c r="AX13" s="6">
        <v>0</v>
      </c>
      <c r="AY13" s="6">
        <f>(AX13/$AP$4)*100</f>
        <v>0</v>
      </c>
      <c r="AZ13" s="8">
        <v>55</v>
      </c>
      <c r="BA13" s="6">
        <f>(AQ13/$AP$4)*100</f>
        <v>100</v>
      </c>
      <c r="BB13" s="6">
        <f t="shared" ref="BB13:BB32" si="123">((AQ13-AZ13)/$AP$4)*100</f>
        <v>92.361111111111114</v>
      </c>
      <c r="BC13" s="18">
        <f t="shared" ref="BC13:BC32" si="124">IF((AND(AR13=0,AT13=0)),0,(AT13+AZ13)/(AR13+AT13)*100)</f>
        <v>7.6388888888888893</v>
      </c>
      <c r="BD13" s="6">
        <f t="shared" ref="BD13:BD14" si="125">(BF13/($AP$4*BG13))*100</f>
        <v>69.266332304526742</v>
      </c>
      <c r="BE13" s="6">
        <f>SUM(AR13:AT13,AV13,AX13)</f>
        <v>720</v>
      </c>
      <c r="BF13" s="86">
        <v>107723</v>
      </c>
      <c r="BG13" s="20">
        <v>216</v>
      </c>
      <c r="BI13" s="16" t="s">
        <v>40</v>
      </c>
      <c r="BJ13" s="17">
        <v>3</v>
      </c>
      <c r="BK13" s="8">
        <v>724.2</v>
      </c>
      <c r="BL13" s="8">
        <v>724.2</v>
      </c>
      <c r="BM13" s="8">
        <v>0</v>
      </c>
      <c r="BN13" s="8">
        <v>19.8</v>
      </c>
      <c r="BO13" s="6">
        <f t="shared" ref="BO13:BO51" si="126">(BN13/$BJ$4)*100</f>
        <v>2.6612903225806455</v>
      </c>
      <c r="BP13" s="8">
        <v>0</v>
      </c>
      <c r="BQ13" s="6">
        <f t="shared" ref="BQ13:BQ51" si="127">(BP13/$BJ$4)*100</f>
        <v>0</v>
      </c>
      <c r="BR13" s="6">
        <v>0</v>
      </c>
      <c r="BS13" s="6">
        <f>(BR13/$BJ$4)*100</f>
        <v>0</v>
      </c>
      <c r="BT13" s="8">
        <v>56</v>
      </c>
      <c r="BU13" s="6">
        <f t="shared" si="27"/>
        <v>97.338709677419359</v>
      </c>
      <c r="BV13" s="6">
        <f t="shared" ref="BV13:BV32" si="128">((BK13-BT13)/$BJ$4)*100</f>
        <v>89.811827956989248</v>
      </c>
      <c r="BW13" s="18">
        <f t="shared" ref="BW13:BW32" si="129">IF((AND(BL13=0,BN13=0)),0,(BN13+BT13)/(BL13+BN13)*100)</f>
        <v>10.188172043010752</v>
      </c>
      <c r="BX13" s="6">
        <f t="shared" si="30"/>
        <v>67.397824571883717</v>
      </c>
      <c r="BY13" s="6">
        <f>SUM(BL13:BN13,BP13,BR13)</f>
        <v>744</v>
      </c>
      <c r="BZ13" s="86">
        <v>108311</v>
      </c>
      <c r="CA13" s="20">
        <v>216</v>
      </c>
      <c r="CC13" s="16" t="s">
        <v>40</v>
      </c>
      <c r="CD13" s="17">
        <v>3</v>
      </c>
      <c r="CE13" s="8">
        <v>674.33</v>
      </c>
      <c r="CF13" s="8">
        <v>674.33</v>
      </c>
      <c r="CG13" s="8">
        <v>0</v>
      </c>
      <c r="CH13" s="8">
        <v>45.67</v>
      </c>
      <c r="CI13" s="6">
        <f t="shared" ref="CI13:CI14" si="130">(CH13/$CD$4)*100</f>
        <v>6.3430555555555559</v>
      </c>
      <c r="CJ13" s="8">
        <v>0</v>
      </c>
      <c r="CK13" s="6">
        <f t="shared" ref="CK13:CK27" si="131">(CJ13/$CD$4)*100</f>
        <v>0</v>
      </c>
      <c r="CL13" s="6">
        <v>0</v>
      </c>
      <c r="CM13" s="6">
        <f>(CL13/$CD$4)*100</f>
        <v>0</v>
      </c>
      <c r="CN13" s="8">
        <v>50</v>
      </c>
      <c r="CO13" s="6">
        <f>(CE13/$CD$4)*100</f>
        <v>93.656944444444449</v>
      </c>
      <c r="CP13" s="6">
        <f t="shared" ref="CP13:CP48" si="132">((CE13-CN13)/$CD$4)*100</f>
        <v>86.712500000000006</v>
      </c>
      <c r="CQ13" s="18">
        <f>IF((AND(CF13=0,CH13=0)),0,(CH13+CN13)/(CF13+CH13)*100)</f>
        <v>13.2875</v>
      </c>
      <c r="CR13" s="6">
        <f t="shared" si="38"/>
        <v>56.452546296296291</v>
      </c>
      <c r="CS13" s="6">
        <f>SUM(CF13:CH13,CJ13,CL13)</f>
        <v>720</v>
      </c>
      <c r="CT13" s="86">
        <v>87795</v>
      </c>
      <c r="CU13" s="20">
        <v>216</v>
      </c>
      <c r="CW13" s="16" t="s">
        <v>40</v>
      </c>
      <c r="CX13" s="17">
        <v>3</v>
      </c>
      <c r="CY13" s="8">
        <v>621</v>
      </c>
      <c r="CZ13" s="8">
        <v>621</v>
      </c>
      <c r="DA13" s="8">
        <v>0</v>
      </c>
      <c r="DB13" s="8">
        <v>123</v>
      </c>
      <c r="DC13" s="6">
        <f t="shared" ref="DC13:DC27" si="133">(DB13/$CX$4)*100</f>
        <v>16.532258064516128</v>
      </c>
      <c r="DD13" s="8">
        <v>0</v>
      </c>
      <c r="DE13" s="6">
        <f t="shared" ref="DE13:DE27" si="134">(DD13/$CX$4)*100</f>
        <v>0</v>
      </c>
      <c r="DF13" s="6">
        <v>0</v>
      </c>
      <c r="DG13" s="6">
        <f>(DF13/$CX$4)*100</f>
        <v>0</v>
      </c>
      <c r="DH13" s="8">
        <v>46</v>
      </c>
      <c r="DI13" s="6">
        <f>(CY13/$V$4)*100</f>
        <v>83.467741935483872</v>
      </c>
      <c r="DJ13" s="6">
        <f t="shared" ref="DJ13:DJ27" si="135">((CY13-DH13)/$CX$4)*100</f>
        <v>77.284946236559136</v>
      </c>
      <c r="DK13" s="18">
        <f t="shared" ref="DK13:DK27" si="136">IF((AND(CZ13=0,DB13=0)),0,(DB13+DH13)/(CZ13+DB13)*100)</f>
        <v>22.71505376344086</v>
      </c>
      <c r="DL13" s="6">
        <f>(DN13/($CX$4*DO13))*100</f>
        <v>54.866711469534046</v>
      </c>
      <c r="DM13" s="6">
        <f>SUM(CZ13:DB13,DD13,DF13)</f>
        <v>744</v>
      </c>
      <c r="DN13" s="86">
        <v>88173</v>
      </c>
      <c r="DO13" s="20">
        <v>216</v>
      </c>
      <c r="DQ13" s="16" t="s">
        <v>40</v>
      </c>
      <c r="DR13" s="17">
        <v>3</v>
      </c>
      <c r="DS13" s="8">
        <v>738.37</v>
      </c>
      <c r="DT13" s="8">
        <v>738.37</v>
      </c>
      <c r="DU13" s="8">
        <v>0</v>
      </c>
      <c r="DV13" s="8">
        <v>5.63</v>
      </c>
      <c r="DW13" s="6">
        <f t="shared" ref="DW13:DW14" si="137">(DV13/$DR$4)*100</f>
        <v>0.75672043010752688</v>
      </c>
      <c r="DX13" s="8">
        <v>0</v>
      </c>
      <c r="DY13" s="6">
        <f t="shared" ref="DY13:DY14" si="138">(DX13/$DR$4)*100</f>
        <v>0</v>
      </c>
      <c r="DZ13" s="6">
        <v>0</v>
      </c>
      <c r="EA13" s="6">
        <f>(DZ13/$DR$4)*100</f>
        <v>0</v>
      </c>
      <c r="EB13" s="8">
        <v>69.33</v>
      </c>
      <c r="EC13" s="6">
        <f>(DS13/$V$4)*100</f>
        <v>99.243279569892479</v>
      </c>
      <c r="ED13" s="6">
        <f t="shared" ref="ED13:ED14" si="139">((DS13-EB13)/$DR$4)*100</f>
        <v>89.924731182795696</v>
      </c>
      <c r="EE13" s="18">
        <f>IF((AND(DT13=0,DV13=0)),0,(DV13+EB13)/(DT13+DV13)*100)</f>
        <v>10.0752688172043</v>
      </c>
      <c r="EF13" s="6">
        <f>(EH13/($DR$4*EI13))*100</f>
        <v>66.502389486260455</v>
      </c>
      <c r="EG13" s="6">
        <f>SUM(DT13:DV13,DX13,DZ13)</f>
        <v>744</v>
      </c>
      <c r="EH13" s="86">
        <v>106872</v>
      </c>
      <c r="EI13" s="20">
        <v>216</v>
      </c>
      <c r="EK13" s="16" t="s">
        <v>40</v>
      </c>
      <c r="EL13" s="17">
        <v>3</v>
      </c>
      <c r="EM13" s="8">
        <v>665.33</v>
      </c>
      <c r="EN13" s="8">
        <v>665.33</v>
      </c>
      <c r="EO13" s="8">
        <v>0</v>
      </c>
      <c r="EP13" s="8">
        <v>6.67</v>
      </c>
      <c r="EQ13" s="6">
        <f t="shared" ref="EQ13:EQ27" si="140">(EP13/$EL$4)*100</f>
        <v>0.99255952380952384</v>
      </c>
      <c r="ER13" s="8">
        <v>0</v>
      </c>
      <c r="ES13" s="6">
        <f t="shared" ref="ES13:ES27" si="141">(ER13/$EL$4)*100</f>
        <v>0</v>
      </c>
      <c r="ET13" s="6">
        <v>0</v>
      </c>
      <c r="EU13" s="6">
        <f>(ET13/$EL$4)*100</f>
        <v>0</v>
      </c>
      <c r="EV13" s="8">
        <v>49.28</v>
      </c>
      <c r="EW13" s="6">
        <f>(EM13/$V$4)*100</f>
        <v>89.4260752688172</v>
      </c>
      <c r="EX13" s="6">
        <f t="shared" ref="EX13:EX27" si="142">((EM13-EV13)/$EL$4)*100</f>
        <v>91.674107142857153</v>
      </c>
      <c r="EY13" s="18">
        <f>IF((AND(EN13=0,EP13=0)),0,(EP13+EV13)/(EN13+EP13)*100)</f>
        <v>8.3258928571428577</v>
      </c>
      <c r="EZ13" s="6">
        <f t="shared" si="62"/>
        <v>70.810598544973544</v>
      </c>
      <c r="FA13" s="6">
        <f>SUM(EN13:EP13,ER13,ET13)</f>
        <v>672</v>
      </c>
      <c r="FB13" s="86">
        <v>102783</v>
      </c>
      <c r="FC13" s="20">
        <v>216</v>
      </c>
      <c r="FE13" s="16" t="s">
        <v>40</v>
      </c>
      <c r="FF13" s="17">
        <v>3</v>
      </c>
      <c r="FG13" s="8">
        <v>664</v>
      </c>
      <c r="FH13" s="8">
        <v>664</v>
      </c>
      <c r="FI13" s="8">
        <v>0</v>
      </c>
      <c r="FJ13" s="8">
        <v>20.83</v>
      </c>
      <c r="FK13" s="6">
        <f>(FJ13/$FF$4)*100</f>
        <v>2.799731182795699</v>
      </c>
      <c r="FL13" s="8">
        <v>0</v>
      </c>
      <c r="FM13" s="6">
        <f>(FL13/$FF$4)*100</f>
        <v>0</v>
      </c>
      <c r="FN13" s="6">
        <v>59.17</v>
      </c>
      <c r="FO13" s="6">
        <f t="shared" si="66"/>
        <v>7.952956989247312</v>
      </c>
      <c r="FP13" s="8">
        <v>47.41</v>
      </c>
      <c r="FQ13" s="6">
        <f>(FG13/$V$4)*100</f>
        <v>89.247311827956992</v>
      </c>
      <c r="FR13" s="6">
        <f>((FG13-FP13)/$FF$4)*100</f>
        <v>82.875000000000014</v>
      </c>
      <c r="FS13" s="18">
        <f t="shared" ref="FS13:FS32" si="143">IF((AND(FH13=0,FJ13=0)),0,(FJ13+FP13)/(FH13+FJ13)*100)</f>
        <v>9.9645167413810718</v>
      </c>
      <c r="FT13" s="6">
        <f>(FV13/($FF$4*FW13))*100</f>
        <v>60.678638988450814</v>
      </c>
      <c r="FU13" s="6">
        <f>SUM(FH13:FJ13,FL13,FN13)</f>
        <v>744</v>
      </c>
      <c r="FV13" s="86">
        <v>97513</v>
      </c>
      <c r="FW13" s="20">
        <v>216</v>
      </c>
      <c r="FY13" s="16" t="s">
        <v>40</v>
      </c>
      <c r="FZ13" s="17">
        <v>3</v>
      </c>
      <c r="GA13" s="8">
        <v>548</v>
      </c>
      <c r="GB13" s="8">
        <v>548</v>
      </c>
      <c r="GC13" s="8">
        <v>0</v>
      </c>
      <c r="GD13" s="8">
        <v>13.92</v>
      </c>
      <c r="GE13" s="6">
        <f>(GD13/$FZ$4)</f>
        <v>1.9333333333333334E-2</v>
      </c>
      <c r="GF13" s="8">
        <v>0</v>
      </c>
      <c r="GG13" s="6">
        <f t="shared" ref="GG13:GG23" si="144">(GF13/$FZ$4)*100</f>
        <v>0</v>
      </c>
      <c r="GH13" s="6">
        <v>158.08000000000001</v>
      </c>
      <c r="GI13" s="6">
        <f>(GH13/$FZ$4)*100</f>
        <v>21.955555555555556</v>
      </c>
      <c r="GJ13" s="8">
        <v>37.32</v>
      </c>
      <c r="GK13" s="6">
        <f>(GA13/$V$4)*100</f>
        <v>73.655913978494624</v>
      </c>
      <c r="GL13" s="6">
        <f t="shared" ref="GL13:GL27" si="145">((GA13-GJ13)/$FZ$4)*100</f>
        <v>70.927777777777777</v>
      </c>
      <c r="GM13" s="18">
        <f>IF((AND(GB13=0,GD13=0)),0,(GD13+GJ13)/(GB13+GD13)*100)</f>
        <v>9.118735763097952</v>
      </c>
      <c r="GN13" s="6">
        <f>(GP13/($FZ$4*GQ13))*100</f>
        <v>55.160751028806587</v>
      </c>
      <c r="GO13" s="6">
        <f>SUM(GB13:GD13,GF13,GH13)</f>
        <v>720</v>
      </c>
      <c r="GP13" s="86">
        <v>85786</v>
      </c>
      <c r="GQ13" s="20">
        <v>216</v>
      </c>
      <c r="GS13" s="16" t="s">
        <v>40</v>
      </c>
      <c r="GT13" s="17">
        <v>3</v>
      </c>
      <c r="GU13" s="17">
        <v>744</v>
      </c>
      <c r="GV13" s="17">
        <v>744</v>
      </c>
      <c r="GW13" s="17">
        <v>0</v>
      </c>
      <c r="GX13" s="17">
        <v>0</v>
      </c>
      <c r="GY13" s="17">
        <f t="shared" si="80"/>
        <v>0</v>
      </c>
      <c r="GZ13" s="17">
        <v>0</v>
      </c>
      <c r="HA13" s="17">
        <f t="shared" si="80"/>
        <v>0</v>
      </c>
      <c r="HB13" s="17">
        <v>0</v>
      </c>
      <c r="HC13" s="6">
        <f>(HB13/$GT$4)*100</f>
        <v>0</v>
      </c>
      <c r="HD13" s="17">
        <v>73.489999999999995</v>
      </c>
      <c r="HE13" s="6">
        <f>(GU13/GT$4)*100</f>
        <v>100</v>
      </c>
      <c r="HF13" s="21">
        <f t="shared" si="82"/>
        <v>90.122311827956992</v>
      </c>
      <c r="HG13" s="21">
        <f t="shared" si="83"/>
        <v>9.8776881720430101</v>
      </c>
      <c r="HH13" s="6">
        <f t="shared" si="84"/>
        <v>67.23043608124253</v>
      </c>
      <c r="HI13" s="6">
        <f>SUM(GV13:GX13,GZ13,HB13)</f>
        <v>744</v>
      </c>
      <c r="HJ13" s="104">
        <v>108042</v>
      </c>
      <c r="HK13" s="20">
        <v>216</v>
      </c>
      <c r="HM13" s="16" t="s">
        <v>40</v>
      </c>
      <c r="HN13" s="17">
        <v>3</v>
      </c>
      <c r="HO13" s="52">
        <v>540.84</v>
      </c>
      <c r="HP13" s="52">
        <v>540.84</v>
      </c>
      <c r="HQ13" s="54">
        <v>0</v>
      </c>
      <c r="HR13" s="52">
        <v>179.16</v>
      </c>
      <c r="HS13" s="6">
        <f>(HR13/$HN$4)*100</f>
        <v>24.883333333333333</v>
      </c>
      <c r="HT13" s="54">
        <v>0</v>
      </c>
      <c r="HU13" s="6">
        <f>(HT13/$HN$4)*100</f>
        <v>0</v>
      </c>
      <c r="HV13" s="54">
        <v>0</v>
      </c>
      <c r="HW13" s="6">
        <f>(HV13/$HN$4)*100</f>
        <v>0</v>
      </c>
      <c r="HX13" s="52">
        <v>140.85</v>
      </c>
      <c r="HY13" s="6">
        <f>(HO13/$HN$4)*100</f>
        <v>75.116666666666674</v>
      </c>
      <c r="HZ13" s="21">
        <f>((HO13-HX13)/$HN$4)*100</f>
        <v>55.554166666666674</v>
      </c>
      <c r="IA13" s="21">
        <f t="shared" ref="IA13:IA14" si="146">IF((AND(HP13=0,HR13=0)),0,(HR13+HX13)/(HP13+HR13)*100)</f>
        <v>44.445833333333333</v>
      </c>
      <c r="IB13" s="6">
        <f>(ID13/($HN$4*IE13))*100</f>
        <v>46.818377057613169</v>
      </c>
      <c r="IC13" s="6">
        <f>SUM(HP13:HR13,HT13,HV13)</f>
        <v>720</v>
      </c>
      <c r="ID13" s="50">
        <v>72811.94</v>
      </c>
      <c r="IE13" s="20">
        <v>216</v>
      </c>
      <c r="IF13" s="15">
        <v>178</v>
      </c>
    </row>
    <row r="14" spans="1:240" ht="15" x14ac:dyDescent="0.25">
      <c r="A14" s="16" t="s">
        <v>41</v>
      </c>
      <c r="B14" s="17">
        <v>4</v>
      </c>
      <c r="C14" s="8">
        <v>0</v>
      </c>
      <c r="D14" s="8">
        <v>0</v>
      </c>
      <c r="E14" s="8">
        <v>0</v>
      </c>
      <c r="F14" s="8">
        <v>744</v>
      </c>
      <c r="G14" s="6">
        <f t="shared" ref="G14" si="147">(F14/$B$4)*100</f>
        <v>100</v>
      </c>
      <c r="H14" s="8">
        <v>0</v>
      </c>
      <c r="I14" s="6">
        <f t="shared" ref="I14:K14" si="148">(H14/$B$4)*100</f>
        <v>0</v>
      </c>
      <c r="J14" s="6">
        <v>0</v>
      </c>
      <c r="K14" s="6">
        <f t="shared" si="148"/>
        <v>0</v>
      </c>
      <c r="L14" s="8">
        <v>0</v>
      </c>
      <c r="M14" s="8">
        <f t="shared" ref="M14" si="149">(C14/$B$4)*100</f>
        <v>0</v>
      </c>
      <c r="N14" s="6">
        <f t="shared" ref="N14" si="150">((C14-L14)/$B$4)*100</f>
        <v>0</v>
      </c>
      <c r="O14" s="18">
        <f t="shared" si="116"/>
        <v>100</v>
      </c>
      <c r="P14" s="6">
        <f t="shared" ref="P14" si="151">(R14/($B$4*S14))*100</f>
        <v>0</v>
      </c>
      <c r="Q14" s="6">
        <f t="shared" ref="Q14" si="152">SUM(D14:F14,H14,J14)</f>
        <v>744</v>
      </c>
      <c r="R14" s="8">
        <v>0</v>
      </c>
      <c r="S14" s="20">
        <v>216</v>
      </c>
      <c r="U14" s="16" t="s">
        <v>41</v>
      </c>
      <c r="V14" s="17">
        <v>4</v>
      </c>
      <c r="W14" s="8">
        <f>$V$4-Z14-AB14</f>
        <v>0</v>
      </c>
      <c r="X14" s="8">
        <v>0</v>
      </c>
      <c r="Y14" s="8">
        <v>0</v>
      </c>
      <c r="Z14" s="8">
        <v>744</v>
      </c>
      <c r="AA14" s="6">
        <f t="shared" si="117"/>
        <v>100</v>
      </c>
      <c r="AB14" s="8">
        <v>0</v>
      </c>
      <c r="AC14" s="6">
        <f t="shared" si="118"/>
        <v>0</v>
      </c>
      <c r="AD14" s="6">
        <v>0</v>
      </c>
      <c r="AE14" s="6">
        <f t="shared" si="118"/>
        <v>0</v>
      </c>
      <c r="AF14" s="8">
        <v>0</v>
      </c>
      <c r="AG14" s="6">
        <f>(W14/$V$4)*100</f>
        <v>0</v>
      </c>
      <c r="AH14" s="6">
        <f t="shared" si="119"/>
        <v>0</v>
      </c>
      <c r="AI14" s="18">
        <f t="shared" si="120"/>
        <v>100</v>
      </c>
      <c r="AJ14" s="6">
        <f t="shared" ref="AJ14" si="153">(AL14/($V$4*AM14))*100</f>
        <v>0</v>
      </c>
      <c r="AK14" s="6">
        <f t="shared" ref="AK14" si="154">SUM(X14:Z14,AB14,AD14)</f>
        <v>744</v>
      </c>
      <c r="AL14" s="8">
        <v>0</v>
      </c>
      <c r="AM14" s="20">
        <v>216</v>
      </c>
      <c r="AO14" s="16" t="s">
        <v>41</v>
      </c>
      <c r="AP14" s="17">
        <v>4</v>
      </c>
      <c r="AQ14" s="8">
        <v>0</v>
      </c>
      <c r="AR14" s="8">
        <v>0</v>
      </c>
      <c r="AS14" s="8">
        <v>0</v>
      </c>
      <c r="AT14" s="8">
        <v>720</v>
      </c>
      <c r="AU14" s="6">
        <f t="shared" si="121"/>
        <v>100</v>
      </c>
      <c r="AV14" s="8">
        <v>0</v>
      </c>
      <c r="AW14" s="6">
        <f t="shared" si="122"/>
        <v>0</v>
      </c>
      <c r="AX14" s="6">
        <v>0</v>
      </c>
      <c r="AY14" s="6">
        <f>(AX14/$AP$4)*100</f>
        <v>0</v>
      </c>
      <c r="AZ14" s="8">
        <v>0</v>
      </c>
      <c r="BA14" s="6">
        <f>(AQ14/$AP$4)*100</f>
        <v>0</v>
      </c>
      <c r="BB14" s="6">
        <f t="shared" si="123"/>
        <v>0</v>
      </c>
      <c r="BC14" s="18">
        <f t="shared" si="124"/>
        <v>100</v>
      </c>
      <c r="BD14" s="6">
        <f t="shared" si="125"/>
        <v>0</v>
      </c>
      <c r="BE14" s="6">
        <f t="shared" ref="BE14" si="155">SUM(AR14:AT14,AV14,AX14)</f>
        <v>720</v>
      </c>
      <c r="BF14" s="8">
        <v>0</v>
      </c>
      <c r="BG14" s="20">
        <v>216</v>
      </c>
      <c r="BI14" s="16" t="s">
        <v>41</v>
      </c>
      <c r="BJ14" s="17">
        <v>4</v>
      </c>
      <c r="BK14" s="8">
        <v>0</v>
      </c>
      <c r="BL14" s="8">
        <v>0</v>
      </c>
      <c r="BM14" s="8">
        <v>0</v>
      </c>
      <c r="BN14" s="8">
        <v>744</v>
      </c>
      <c r="BO14" s="6">
        <f t="shared" si="126"/>
        <v>100</v>
      </c>
      <c r="BP14" s="8">
        <v>0</v>
      </c>
      <c r="BQ14" s="6">
        <f t="shared" si="127"/>
        <v>0</v>
      </c>
      <c r="BR14" s="6">
        <v>0</v>
      </c>
      <c r="BS14" s="6">
        <f>(BR14/$BJ$4)*100</f>
        <v>0</v>
      </c>
      <c r="BT14" s="8">
        <v>0</v>
      </c>
      <c r="BU14" s="6">
        <f t="shared" si="27"/>
        <v>0</v>
      </c>
      <c r="BV14" s="6">
        <f t="shared" si="128"/>
        <v>0</v>
      </c>
      <c r="BW14" s="18">
        <f t="shared" si="129"/>
        <v>100</v>
      </c>
      <c r="BX14" s="6">
        <f t="shared" si="30"/>
        <v>0</v>
      </c>
      <c r="BY14" s="6">
        <f t="shared" ref="BY14" si="156">SUM(BL14:BN14,BP14,BR14)</f>
        <v>744</v>
      </c>
      <c r="BZ14" s="8">
        <v>0</v>
      </c>
      <c r="CA14" s="20">
        <v>216</v>
      </c>
      <c r="CC14" s="16" t="s">
        <v>41</v>
      </c>
      <c r="CD14" s="17">
        <v>4</v>
      </c>
      <c r="CE14" s="8">
        <v>0</v>
      </c>
      <c r="CF14" s="8">
        <v>0</v>
      </c>
      <c r="CG14" s="8">
        <v>0</v>
      </c>
      <c r="CH14" s="8">
        <v>720</v>
      </c>
      <c r="CI14" s="6">
        <f t="shared" si="130"/>
        <v>100</v>
      </c>
      <c r="CJ14" s="8">
        <v>0</v>
      </c>
      <c r="CK14" s="6">
        <f t="shared" si="131"/>
        <v>0</v>
      </c>
      <c r="CL14" s="6">
        <v>0</v>
      </c>
      <c r="CM14" s="6">
        <f t="shared" ref="CM14" si="157">(CL14/$CD$4)*100</f>
        <v>0</v>
      </c>
      <c r="CN14" s="8">
        <v>0</v>
      </c>
      <c r="CO14" s="6">
        <f>(CE14/$CD$4)*100</f>
        <v>0</v>
      </c>
      <c r="CP14" s="6">
        <f t="shared" si="132"/>
        <v>0</v>
      </c>
      <c r="CQ14" s="18">
        <f t="shared" ref="CQ14" si="158">IF((AND(CF14=0,CH14=0)),0,(CH14+CN14)/(CF14+CH14)*100)</f>
        <v>100</v>
      </c>
      <c r="CR14" s="6">
        <f t="shared" si="38"/>
        <v>0</v>
      </c>
      <c r="CS14" s="6">
        <f t="shared" ref="CS14" si="159">SUM(CF14:CH14,CJ14,CL14)</f>
        <v>720</v>
      </c>
      <c r="CT14" s="8">
        <v>0</v>
      </c>
      <c r="CU14" s="20">
        <v>216</v>
      </c>
      <c r="CW14" s="16" t="s">
        <v>41</v>
      </c>
      <c r="CX14" s="17">
        <v>4</v>
      </c>
      <c r="CY14" s="8">
        <v>0</v>
      </c>
      <c r="CZ14" s="8">
        <v>0</v>
      </c>
      <c r="DA14" s="8">
        <v>0</v>
      </c>
      <c r="DB14" s="8">
        <v>744</v>
      </c>
      <c r="DC14" s="6">
        <f t="shared" si="133"/>
        <v>100</v>
      </c>
      <c r="DD14" s="8">
        <v>0</v>
      </c>
      <c r="DE14" s="6">
        <f t="shared" si="134"/>
        <v>0</v>
      </c>
      <c r="DF14" s="6">
        <v>0</v>
      </c>
      <c r="DG14" s="6">
        <f t="shared" ref="DG14" si="160">(DF14/$CX$4)*100</f>
        <v>0</v>
      </c>
      <c r="DH14" s="8">
        <v>0</v>
      </c>
      <c r="DI14" s="6">
        <f>(CY14/$V$4)*100</f>
        <v>0</v>
      </c>
      <c r="DJ14" s="6">
        <f t="shared" si="135"/>
        <v>0</v>
      </c>
      <c r="DK14" s="18">
        <f t="shared" si="136"/>
        <v>100</v>
      </c>
      <c r="DL14" s="6">
        <f t="shared" ref="DL14" si="161">(DN14/($CX$4*DO14))*100</f>
        <v>0</v>
      </c>
      <c r="DM14" s="6">
        <f t="shared" ref="DM14" si="162">SUM(CZ14:DB14,DD14,DF14)</f>
        <v>744</v>
      </c>
      <c r="DN14" s="8">
        <v>0</v>
      </c>
      <c r="DO14" s="20">
        <v>216</v>
      </c>
      <c r="DQ14" s="16" t="s">
        <v>41</v>
      </c>
      <c r="DR14" s="17">
        <v>4</v>
      </c>
      <c r="DS14" s="8">
        <v>0</v>
      </c>
      <c r="DT14" s="8">
        <v>0</v>
      </c>
      <c r="DU14" s="8">
        <v>0</v>
      </c>
      <c r="DV14" s="8">
        <v>744</v>
      </c>
      <c r="DW14" s="6">
        <f t="shared" si="137"/>
        <v>100</v>
      </c>
      <c r="DX14" s="8">
        <v>0</v>
      </c>
      <c r="DY14" s="6">
        <f t="shared" si="138"/>
        <v>0</v>
      </c>
      <c r="DZ14" s="6">
        <v>0</v>
      </c>
      <c r="EA14" s="6">
        <f>(DZ14/$DR$4)*100</f>
        <v>0</v>
      </c>
      <c r="EB14" s="8">
        <v>0</v>
      </c>
      <c r="EC14" s="6">
        <f>(DS14/$V$4)*100</f>
        <v>0</v>
      </c>
      <c r="ED14" s="6">
        <f t="shared" si="139"/>
        <v>0</v>
      </c>
      <c r="EE14" s="18">
        <f t="shared" ref="EE14" si="163">IF((AND(DT14=0,DV14=0)),0,(DV14+EB14)/(DT14+DV14)*100)</f>
        <v>100</v>
      </c>
      <c r="EF14" s="6">
        <f t="shared" ref="EF14" si="164">(EH14/($DR$4*EI14))*100</f>
        <v>0</v>
      </c>
      <c r="EG14" s="6">
        <f t="shared" ref="EG14" si="165">SUM(DT14:DV14,DX14,DZ14)</f>
        <v>744</v>
      </c>
      <c r="EH14" s="8">
        <v>0</v>
      </c>
      <c r="EI14" s="20">
        <v>216</v>
      </c>
      <c r="EK14" s="16" t="s">
        <v>41</v>
      </c>
      <c r="EL14" s="17">
        <v>4</v>
      </c>
      <c r="EM14" s="8">
        <v>0</v>
      </c>
      <c r="EN14" s="8">
        <v>0</v>
      </c>
      <c r="EO14" s="8">
        <v>0</v>
      </c>
      <c r="EP14" s="8">
        <v>672</v>
      </c>
      <c r="EQ14" s="6">
        <f t="shared" si="140"/>
        <v>100</v>
      </c>
      <c r="ER14" s="8">
        <v>0</v>
      </c>
      <c r="ES14" s="6">
        <f t="shared" si="141"/>
        <v>0</v>
      </c>
      <c r="ET14" s="6">
        <v>0</v>
      </c>
      <c r="EU14" s="6">
        <f>(ET14/$EL$4)*100</f>
        <v>0</v>
      </c>
      <c r="EV14" s="8">
        <v>0</v>
      </c>
      <c r="EW14" s="6">
        <f>(EM14/$V$4)*100</f>
        <v>0</v>
      </c>
      <c r="EX14" s="6">
        <f t="shared" si="142"/>
        <v>0</v>
      </c>
      <c r="EY14" s="18">
        <f t="shared" ref="EY14" si="166">IF((AND(EN14=0,EP14=0)),0,(EP14+EV14)/(EN14+EP14)*100)</f>
        <v>100</v>
      </c>
      <c r="EZ14" s="6">
        <f t="shared" si="62"/>
        <v>0</v>
      </c>
      <c r="FA14" s="6">
        <f t="shared" ref="FA14" si="167">SUM(EN14:EP14,ER14,ET14)</f>
        <v>672</v>
      </c>
      <c r="FB14" s="194">
        <v>0</v>
      </c>
      <c r="FC14" s="20">
        <v>216</v>
      </c>
      <c r="FE14" s="16" t="s">
        <v>41</v>
      </c>
      <c r="FF14" s="17">
        <v>4</v>
      </c>
      <c r="FG14" s="8">
        <v>0</v>
      </c>
      <c r="FH14" s="8">
        <v>0</v>
      </c>
      <c r="FI14" s="8">
        <v>0</v>
      </c>
      <c r="FJ14" s="8">
        <v>744</v>
      </c>
      <c r="FK14" s="6">
        <f t="shared" ref="FK14" si="168">(FJ14/$FF$4)*100</f>
        <v>100</v>
      </c>
      <c r="FL14" s="8">
        <v>0</v>
      </c>
      <c r="FM14" s="6">
        <f t="shared" ref="FM14" si="169">(FL14/$FF$4)*100</f>
        <v>0</v>
      </c>
      <c r="FN14" s="6">
        <v>0</v>
      </c>
      <c r="FO14" s="6">
        <f t="shared" si="66"/>
        <v>0</v>
      </c>
      <c r="FP14" s="8">
        <v>0</v>
      </c>
      <c r="FQ14" s="6">
        <f>(FG14/$V$4)*100</f>
        <v>0</v>
      </c>
      <c r="FR14" s="6">
        <f t="shared" ref="FR14" si="170">((FG14-FP14)/$FF$4)*100</f>
        <v>0</v>
      </c>
      <c r="FS14" s="18">
        <f t="shared" si="143"/>
        <v>100</v>
      </c>
      <c r="FT14" s="6">
        <f t="shared" ref="FT14" si="171">(FV14/($FF$4*FW14))*100</f>
        <v>0</v>
      </c>
      <c r="FU14" s="6">
        <f t="shared" ref="FU14" si="172">SUM(FH14:FJ14,FL14,FN14)</f>
        <v>744</v>
      </c>
      <c r="FV14" s="8">
        <v>0</v>
      </c>
      <c r="FW14" s="20">
        <v>216</v>
      </c>
      <c r="FY14" s="16" t="s">
        <v>41</v>
      </c>
      <c r="FZ14" s="17">
        <v>4</v>
      </c>
      <c r="GA14" s="8">
        <v>0</v>
      </c>
      <c r="GB14" s="8">
        <v>0</v>
      </c>
      <c r="GC14" s="8">
        <v>0</v>
      </c>
      <c r="GD14" s="8">
        <v>720</v>
      </c>
      <c r="GE14" s="6">
        <f>(GD14/$FZ$4)</f>
        <v>1</v>
      </c>
      <c r="GF14" s="8">
        <v>0</v>
      </c>
      <c r="GG14" s="6">
        <f t="shared" si="144"/>
        <v>0</v>
      </c>
      <c r="GH14" s="6">
        <v>0</v>
      </c>
      <c r="GI14" s="6">
        <f t="shared" ref="GI14" si="173">(GH14/$FZ$4)*100</f>
        <v>0</v>
      </c>
      <c r="GJ14" s="8">
        <v>0</v>
      </c>
      <c r="GK14" s="6">
        <f>(GA14/$V$4)*100</f>
        <v>0</v>
      </c>
      <c r="GL14" s="6">
        <f t="shared" si="145"/>
        <v>0</v>
      </c>
      <c r="GM14" s="18">
        <f t="shared" ref="GM14" si="174">IF((AND(GB14=0,GD14=0)),0,(GD14+GJ14)/(GB14+GD14)*100)</f>
        <v>100</v>
      </c>
      <c r="GN14" s="6">
        <f>(GP14/($FZ$4*GQ14))*100</f>
        <v>0</v>
      </c>
      <c r="GO14" s="6">
        <f t="shared" ref="GO14" si="175">SUM(GB14:GD14,GF14,GH14)</f>
        <v>720</v>
      </c>
      <c r="GP14" s="8">
        <v>0</v>
      </c>
      <c r="GQ14" s="20">
        <v>216</v>
      </c>
      <c r="GS14" s="16" t="s">
        <v>41</v>
      </c>
      <c r="GT14" s="17">
        <v>4</v>
      </c>
      <c r="GU14" s="8">
        <v>0</v>
      </c>
      <c r="GV14" s="8">
        <v>0</v>
      </c>
      <c r="GW14" s="8">
        <v>0</v>
      </c>
      <c r="GX14" s="8">
        <v>744</v>
      </c>
      <c r="GY14" s="8">
        <f t="shared" si="80"/>
        <v>100</v>
      </c>
      <c r="GZ14" s="8">
        <v>0</v>
      </c>
      <c r="HA14" s="8">
        <f t="shared" si="80"/>
        <v>0</v>
      </c>
      <c r="HB14" s="8">
        <v>0</v>
      </c>
      <c r="HC14" s="6">
        <f t="shared" si="80"/>
        <v>0</v>
      </c>
      <c r="HD14" s="8">
        <v>0</v>
      </c>
      <c r="HE14" s="6">
        <f>(GU14/GT$4)*100</f>
        <v>0</v>
      </c>
      <c r="HF14" s="8">
        <f t="shared" si="82"/>
        <v>0</v>
      </c>
      <c r="HG14" s="8">
        <f t="shared" si="83"/>
        <v>100</v>
      </c>
      <c r="HH14" s="6">
        <f t="shared" si="84"/>
        <v>0</v>
      </c>
      <c r="HI14" s="6">
        <f t="shared" ref="HI14" si="176">SUM(GV14:GX14,GZ14,HB14)</f>
        <v>744</v>
      </c>
      <c r="HJ14" s="8">
        <v>0</v>
      </c>
      <c r="HK14" s="20">
        <v>216</v>
      </c>
      <c r="HM14" s="16" t="s">
        <v>41</v>
      </c>
      <c r="HN14" s="17">
        <v>4</v>
      </c>
      <c r="HO14" s="52">
        <v>0</v>
      </c>
      <c r="HP14" s="52">
        <v>0</v>
      </c>
      <c r="HQ14" s="54">
        <v>0</v>
      </c>
      <c r="HR14" s="52">
        <v>720</v>
      </c>
      <c r="HS14" s="6">
        <f t="shared" ref="HS14" si="177">(HR14/$HN$4)*100</f>
        <v>100</v>
      </c>
      <c r="HT14" s="54">
        <v>0</v>
      </c>
      <c r="HU14" s="6">
        <f t="shared" ref="HU14" si="178">(HT14/$HN$4)*100</f>
        <v>0</v>
      </c>
      <c r="HV14" s="54">
        <v>0</v>
      </c>
      <c r="HW14" s="6">
        <f t="shared" ref="HW14" si="179">(HV14/$HN$4)*100</f>
        <v>0</v>
      </c>
      <c r="HX14" s="54">
        <v>0</v>
      </c>
      <c r="HY14" s="6">
        <f>(HO14/$HN$4)*100</f>
        <v>0</v>
      </c>
      <c r="HZ14" s="21">
        <f>((HO14-HX14)/$HN$4)*100</f>
        <v>0</v>
      </c>
      <c r="IA14" s="6">
        <f t="shared" si="146"/>
        <v>100</v>
      </c>
      <c r="IB14" s="6">
        <f>(ID14/($HN$4*IE14))*100</f>
        <v>0</v>
      </c>
      <c r="IC14" s="6">
        <f t="shared" ref="IC14" si="180">SUM(HP14:HR14,HT14,HV14)</f>
        <v>720</v>
      </c>
      <c r="ID14" s="51">
        <v>0</v>
      </c>
      <c r="IE14" s="20">
        <v>216</v>
      </c>
      <c r="IF14" s="15">
        <v>0</v>
      </c>
    </row>
    <row r="15" spans="1:240" ht="15" x14ac:dyDescent="0.25">
      <c r="A15" s="16"/>
      <c r="B15" s="24" t="s">
        <v>39</v>
      </c>
      <c r="C15" s="25">
        <f>SUM(C13:C14)</f>
        <v>166.75</v>
      </c>
      <c r="D15" s="25">
        <f t="shared" ref="D15:L15" si="181">SUM(D13:D14)</f>
        <v>166.75</v>
      </c>
      <c r="E15" s="25">
        <f>SUM(E13:E14)</f>
        <v>0</v>
      </c>
      <c r="F15" s="25">
        <f t="shared" si="181"/>
        <v>896</v>
      </c>
      <c r="G15" s="26">
        <f>(G13*S13+G14*S14)/S15</f>
        <v>60.215053763440856</v>
      </c>
      <c r="H15" s="25">
        <f t="shared" si="181"/>
        <v>0</v>
      </c>
      <c r="I15" s="26">
        <f>(I13*S13+I14*S14)/S15</f>
        <v>0</v>
      </c>
      <c r="J15" s="26">
        <f>SUM(J13:J14)</f>
        <v>425.25</v>
      </c>
      <c r="K15" s="26">
        <f>(K13*S13+K14*S14)/S15</f>
        <v>28.578629032258064</v>
      </c>
      <c r="L15" s="25">
        <f t="shared" si="181"/>
        <v>65</v>
      </c>
      <c r="M15" s="26">
        <f>(M13*S13+M14*S14)/S15</f>
        <v>11.206317204301074</v>
      </c>
      <c r="N15" s="7">
        <f>(N13*S13+N14*S14)/S15</f>
        <v>6.838037634408602</v>
      </c>
      <c r="O15" s="7">
        <f>(O13*S13+O14*S14)/S15</f>
        <v>84.039215686274503</v>
      </c>
      <c r="P15" s="7">
        <f>(P13*S13+P14*S14)/S15</f>
        <v>6.3178265631222628</v>
      </c>
      <c r="Q15" s="30">
        <f>SUM(Q13:Q14)</f>
        <v>1488</v>
      </c>
      <c r="R15" s="27">
        <f>SUM(R13:R14)</f>
        <v>20306</v>
      </c>
      <c r="S15" s="28">
        <f>SUM(S13:S14)</f>
        <v>432</v>
      </c>
      <c r="T15" s="15"/>
      <c r="U15" s="16"/>
      <c r="V15" s="24" t="s">
        <v>39</v>
      </c>
      <c r="W15" s="29">
        <f>SUM(W13:W14)</f>
        <v>677.5</v>
      </c>
      <c r="X15" s="29">
        <f t="shared" ref="X15:Z15" si="182">SUM(X13:X14)</f>
        <v>677.5</v>
      </c>
      <c r="Y15" s="29">
        <f>SUM(Y13:Y14)</f>
        <v>0</v>
      </c>
      <c r="Z15" s="29">
        <f t="shared" si="182"/>
        <v>810.5</v>
      </c>
      <c r="AA15" s="30">
        <f>(AA13*AM13+AA14*AM14)/AM15</f>
        <v>54.469086021505376</v>
      </c>
      <c r="AB15" s="29">
        <f>SUM(AB13:AB14)</f>
        <v>0</v>
      </c>
      <c r="AC15" s="30">
        <f>(AC13*AM13+AC14*AM14)/AM15</f>
        <v>0</v>
      </c>
      <c r="AD15" s="30">
        <f>SUM(AD13:AD14)</f>
        <v>0</v>
      </c>
      <c r="AE15" s="30">
        <f>(AE13*AM13+AE14*AM14)/AM15</f>
        <v>0</v>
      </c>
      <c r="AF15" s="29">
        <f>SUM(AF13:AF14)</f>
        <v>51</v>
      </c>
      <c r="AG15" s="26">
        <f>(AG13*AM13+AG14*AM14)/AM15</f>
        <v>45.530913978494624</v>
      </c>
      <c r="AH15" s="30">
        <f>(AH13*AM13+AH14*AM14)/AM15</f>
        <v>42.103494623655905</v>
      </c>
      <c r="AI15" s="30">
        <f>(AI13*AM13+AI14*AM14)/AM15</f>
        <v>57.896505376344081</v>
      </c>
      <c r="AJ15" s="7">
        <f>(AJ13*AM13+AJ14*AM14)/AM15</f>
        <v>32.093165073675827</v>
      </c>
      <c r="AK15" s="30">
        <f>SUM(AK13:AK14)</f>
        <v>1488</v>
      </c>
      <c r="AL15" s="27">
        <f>SUM(AL13:AL14)</f>
        <v>103150</v>
      </c>
      <c r="AM15" s="31">
        <f>SUM(AM13:AM14)</f>
        <v>432</v>
      </c>
      <c r="AN15" s="15"/>
      <c r="AO15" s="16"/>
      <c r="AP15" s="32" t="s">
        <v>39</v>
      </c>
      <c r="AQ15" s="25">
        <f>SUM(AQ13:AQ14)</f>
        <v>720</v>
      </c>
      <c r="AR15" s="25">
        <f t="shared" ref="AR15:AZ15" si="183">SUM(AR13:AR14)</f>
        <v>720</v>
      </c>
      <c r="AS15" s="25">
        <f>SUM(AS13:AS14)</f>
        <v>0</v>
      </c>
      <c r="AT15" s="25">
        <f t="shared" si="183"/>
        <v>720</v>
      </c>
      <c r="AU15" s="26">
        <f>(AU13*BG13+AU14*BG14)/BG15</f>
        <v>50</v>
      </c>
      <c r="AV15" s="25">
        <f t="shared" si="183"/>
        <v>0</v>
      </c>
      <c r="AW15" s="26">
        <f>(AW13*BG13+AW14*BG14)/BG15</f>
        <v>0</v>
      </c>
      <c r="AX15" s="26">
        <f>SUM(AX13:AX14)</f>
        <v>0</v>
      </c>
      <c r="AY15" s="30">
        <f>(AY13*BG13+AY14*BG14)/BG15</f>
        <v>0</v>
      </c>
      <c r="AZ15" s="25">
        <f t="shared" si="183"/>
        <v>55</v>
      </c>
      <c r="BA15" s="26">
        <f>(BA13*BG13+BA14*BG14)/BG15</f>
        <v>50</v>
      </c>
      <c r="BB15" s="7">
        <f>(BB13*BG13+BB14*BG14)/BG15</f>
        <v>46.180555555555557</v>
      </c>
      <c r="BC15" s="7">
        <f>(BC13*BG13+BC14*BG14)/BG15</f>
        <v>53.819444444444443</v>
      </c>
      <c r="BD15" s="7">
        <f>(BD13*BG13+BD14*BG14)/BG15</f>
        <v>34.633166152263371</v>
      </c>
      <c r="BE15" s="30">
        <f>SUM(BE13:BE14)</f>
        <v>1440</v>
      </c>
      <c r="BF15" s="33">
        <f>SUM(BF13:BF14)</f>
        <v>107723</v>
      </c>
      <c r="BG15" s="31">
        <f>SUM(BG13:BG14)</f>
        <v>432</v>
      </c>
      <c r="BI15" s="16"/>
      <c r="BJ15" s="32" t="s">
        <v>39</v>
      </c>
      <c r="BK15" s="25">
        <f>SUM(BK13:BK14)</f>
        <v>724.2</v>
      </c>
      <c r="BL15" s="25">
        <f t="shared" ref="BL15:BT15" si="184">SUM(BL13:BL14)</f>
        <v>724.2</v>
      </c>
      <c r="BM15" s="25">
        <f>SUM(BM13:BM14)</f>
        <v>0</v>
      </c>
      <c r="BN15" s="25">
        <f t="shared" si="184"/>
        <v>763.8</v>
      </c>
      <c r="BO15" s="26">
        <f>(BO13*CA13+BO14*CA14)/CA15</f>
        <v>51.330645161290327</v>
      </c>
      <c r="BP15" s="25">
        <f t="shared" si="184"/>
        <v>0</v>
      </c>
      <c r="BQ15" s="26">
        <f>(BQ13*CA13+BQ14*CA14)/CA15</f>
        <v>0</v>
      </c>
      <c r="BR15" s="26">
        <f>SUM(BR13:BR14)</f>
        <v>0</v>
      </c>
      <c r="BS15" s="30">
        <f>(BS13*CA13+BS14*CA14)/CA15</f>
        <v>0</v>
      </c>
      <c r="BT15" s="25">
        <f t="shared" si="184"/>
        <v>56</v>
      </c>
      <c r="BU15" s="26">
        <f>(BU13*CA13+BU14*CA14)/CA15</f>
        <v>48.669354838709687</v>
      </c>
      <c r="BV15" s="7">
        <f>(BV13*CA13+BV14*CA14)/CA15</f>
        <v>44.905913978494624</v>
      </c>
      <c r="BW15" s="7">
        <f>(BW13*CA13+BW14*CA14)/CA15</f>
        <v>55.094086021505376</v>
      </c>
      <c r="BX15" s="7">
        <f>(BX13*CA13+BX14*CA14)/CA15</f>
        <v>33.698912285941859</v>
      </c>
      <c r="BY15" s="30">
        <f>SUM(BY13:BY14)</f>
        <v>1488</v>
      </c>
      <c r="BZ15" s="33">
        <f>SUM(BZ13:BZ14)</f>
        <v>108311</v>
      </c>
      <c r="CA15" s="31">
        <f>SUM(CA13:CA14)</f>
        <v>432</v>
      </c>
      <c r="CB15" s="15"/>
      <c r="CC15" s="16"/>
      <c r="CD15" s="32" t="s">
        <v>39</v>
      </c>
      <c r="CE15" s="25">
        <f>SUM(CE13:CE14)</f>
        <v>674.33</v>
      </c>
      <c r="CF15" s="25">
        <f t="shared" ref="CF15:CN15" si="185">SUM(CF13:CF14)</f>
        <v>674.33</v>
      </c>
      <c r="CG15" s="25">
        <f>SUM(CG13:CG14)</f>
        <v>0</v>
      </c>
      <c r="CH15" s="25">
        <f t="shared" si="185"/>
        <v>765.67</v>
      </c>
      <c r="CI15" s="26">
        <f>(CI13*CU13+CI14*CU14)/CU15</f>
        <v>53.171527777777776</v>
      </c>
      <c r="CJ15" s="25">
        <f t="shared" si="185"/>
        <v>0</v>
      </c>
      <c r="CK15" s="26">
        <f>(CK13*CU13+CK14*CU14)/CU15</f>
        <v>0</v>
      </c>
      <c r="CL15" s="26">
        <f>SUM(CL13:CL14)</f>
        <v>0</v>
      </c>
      <c r="CM15" s="26">
        <f>(CM13*CU13+CM14*CU14)/CU15</f>
        <v>0</v>
      </c>
      <c r="CN15" s="25">
        <f t="shared" si="185"/>
        <v>50</v>
      </c>
      <c r="CO15" s="26">
        <f>(CO13*CU13+CO14*CU14)/CU15</f>
        <v>46.828472222222224</v>
      </c>
      <c r="CP15" s="7">
        <f>(CP13*CU13+CP14*CU14)/CU15</f>
        <v>43.356250000000003</v>
      </c>
      <c r="CQ15" s="7">
        <f>(CQ13*CU13+CQ14*CU14)/CU15</f>
        <v>56.643749999999997</v>
      </c>
      <c r="CR15" s="7">
        <f>(CR13*CU13+CR14*CU14)/CU15</f>
        <v>28.226273148148145</v>
      </c>
      <c r="CS15" s="30">
        <f>SUM(CS13:CS14)</f>
        <v>1440</v>
      </c>
      <c r="CT15" s="33">
        <f>SUM(CT13:CT14)</f>
        <v>87795</v>
      </c>
      <c r="CU15" s="31">
        <f>SUM(CU13:CU14)</f>
        <v>432</v>
      </c>
      <c r="CV15" s="15"/>
      <c r="CW15" s="16"/>
      <c r="CX15" s="32" t="s">
        <v>39</v>
      </c>
      <c r="CY15" s="25">
        <f>SUM(CY13:CY14)</f>
        <v>621</v>
      </c>
      <c r="CZ15" s="25">
        <f t="shared" ref="CZ15:DH15" si="186">SUM(CZ13:CZ14)</f>
        <v>621</v>
      </c>
      <c r="DA15" s="25">
        <f>SUM(DA13:DA14)</f>
        <v>0</v>
      </c>
      <c r="DB15" s="25">
        <f t="shared" si="186"/>
        <v>867</v>
      </c>
      <c r="DC15" s="26">
        <f>(DC13*DO13+DC14*DO14)/DO15</f>
        <v>58.266129032258064</v>
      </c>
      <c r="DD15" s="25">
        <f t="shared" si="186"/>
        <v>0</v>
      </c>
      <c r="DE15" s="26">
        <f>(DE13*DO13+DE14*DO14)/DO15</f>
        <v>0</v>
      </c>
      <c r="DF15" s="26">
        <f>SUM(DF13:DF14)</f>
        <v>0</v>
      </c>
      <c r="DG15" s="30">
        <f>(DG13*DO13+DG14*DO14)/DO15</f>
        <v>0</v>
      </c>
      <c r="DH15" s="25">
        <f t="shared" si="186"/>
        <v>46</v>
      </c>
      <c r="DI15" s="26">
        <f>(DI13*DO13+DI14*DO14)/DO15</f>
        <v>41.733870967741936</v>
      </c>
      <c r="DJ15" s="7">
        <f>(DJ13*DO13+DJ14*DO14)/DO15</f>
        <v>38.642473118279568</v>
      </c>
      <c r="DK15" s="7">
        <f>(DK13*DO13+DK14*DO14)/DO15</f>
        <v>61.357526881720432</v>
      </c>
      <c r="DL15" s="7">
        <f>(DL13*DO13+DL14*DO14)/DO15</f>
        <v>27.433355734767023</v>
      </c>
      <c r="DM15" s="30">
        <f>SUM(DM13:DM14)</f>
        <v>1488</v>
      </c>
      <c r="DN15" s="33">
        <f>SUM(DN13:DN14)</f>
        <v>88173</v>
      </c>
      <c r="DO15" s="31">
        <f>SUM(DO13:DO14)</f>
        <v>432</v>
      </c>
      <c r="DP15" s="15"/>
      <c r="DQ15" s="16"/>
      <c r="DR15" s="32" t="s">
        <v>39</v>
      </c>
      <c r="DS15" s="25">
        <f>SUM(DS13:DS14)</f>
        <v>738.37</v>
      </c>
      <c r="DT15" s="25">
        <f t="shared" ref="DT15:EB15" si="187">SUM(DT13:DT14)</f>
        <v>738.37</v>
      </c>
      <c r="DU15" s="25">
        <f>SUM(DU13:DU14)</f>
        <v>0</v>
      </c>
      <c r="DV15" s="25">
        <f t="shared" si="187"/>
        <v>749.63</v>
      </c>
      <c r="DW15" s="26">
        <f>(DW13*EI13+DW14*EI14)/EI15</f>
        <v>50.378360215053767</v>
      </c>
      <c r="DX15" s="25">
        <f t="shared" si="187"/>
        <v>0</v>
      </c>
      <c r="DY15" s="26">
        <f>(DY13*EI13+DY14*EI14)/EI15</f>
        <v>0</v>
      </c>
      <c r="DZ15" s="26">
        <f>SUM(DZ13:DZ14)</f>
        <v>0</v>
      </c>
      <c r="EA15" s="30">
        <f>(EA13*EI13+EA14*EI14)/EI15</f>
        <v>0</v>
      </c>
      <c r="EB15" s="25">
        <f t="shared" si="187"/>
        <v>69.33</v>
      </c>
      <c r="EC15" s="26">
        <f>(EC13*EI13+EC14*EI14)/EI15</f>
        <v>49.62163978494624</v>
      </c>
      <c r="ED15" s="7">
        <f>(ED13*EI13+ED14*EI14)/EI15</f>
        <v>44.962365591397848</v>
      </c>
      <c r="EE15" s="7">
        <f>(EE13*EI13+EE14*EI14)/EI15</f>
        <v>55.037634408602152</v>
      </c>
      <c r="EF15" s="7">
        <f>(EF13*EI13+EF14*EI14)/EI15</f>
        <v>33.251194743130227</v>
      </c>
      <c r="EG15" s="30">
        <f>SUM(EG13:EG14)</f>
        <v>1488</v>
      </c>
      <c r="EH15" s="33">
        <f>SUM(EH13:EH14)</f>
        <v>106872</v>
      </c>
      <c r="EI15" s="31">
        <f>SUM(EI13:EI14)</f>
        <v>432</v>
      </c>
      <c r="EJ15" s="15"/>
      <c r="EK15" s="16"/>
      <c r="EL15" s="24" t="s">
        <v>39</v>
      </c>
      <c r="EM15" s="25">
        <f>SUM(EM13:EM14)</f>
        <v>665.33</v>
      </c>
      <c r="EN15" s="25">
        <f t="shared" ref="EN15:EV15" si="188">SUM(EN13:EN14)</f>
        <v>665.33</v>
      </c>
      <c r="EO15" s="25">
        <f>SUM(EO13:EO14)</f>
        <v>0</v>
      </c>
      <c r="EP15" s="25">
        <f t="shared" si="188"/>
        <v>678.67</v>
      </c>
      <c r="EQ15" s="26">
        <f>(EQ13*FC13+EQ14*FC14)/FC15</f>
        <v>50.496279761904766</v>
      </c>
      <c r="ER15" s="25">
        <f t="shared" si="188"/>
        <v>0</v>
      </c>
      <c r="ES15" s="26">
        <f>(ES13*FC13+ES14*FC14)/FC15</f>
        <v>0</v>
      </c>
      <c r="ET15" s="26">
        <f>SUM(ET13:ET14)</f>
        <v>0</v>
      </c>
      <c r="EU15" s="30">
        <f>(EU13*FC13+EU14*FC14)/FC15</f>
        <v>0</v>
      </c>
      <c r="EV15" s="25">
        <f t="shared" si="188"/>
        <v>49.28</v>
      </c>
      <c r="EW15" s="26">
        <f>(EW13*FC13+EW14*FC14)/FC15</f>
        <v>44.7130376344086</v>
      </c>
      <c r="EX15" s="7">
        <f>(EX13*FC13+EX14*FC14)/FC15</f>
        <v>45.837053571428577</v>
      </c>
      <c r="EY15" s="7">
        <f>(EY13*FC13+EY14*FC14)/FC15</f>
        <v>54.162946428571431</v>
      </c>
      <c r="EZ15" s="7">
        <f>(EZ13*FC13+EZ14*FC14)/FC15</f>
        <v>35.405299272486772</v>
      </c>
      <c r="FA15" s="30">
        <f>SUM(FA13:FA14)</f>
        <v>1344</v>
      </c>
      <c r="FB15" s="89">
        <f>SUM(FB13:FB14)</f>
        <v>102783</v>
      </c>
      <c r="FC15" s="31">
        <f>SUM(FC13:FC14)</f>
        <v>432</v>
      </c>
      <c r="FD15" s="15"/>
      <c r="FE15" s="16"/>
      <c r="FF15" s="24" t="s">
        <v>39</v>
      </c>
      <c r="FG15" s="25">
        <f>SUM(FG13:FG14)</f>
        <v>664</v>
      </c>
      <c r="FH15" s="25">
        <f t="shared" ref="FH15:FP15" si="189">SUM(FH13:FH14)</f>
        <v>664</v>
      </c>
      <c r="FI15" s="25">
        <f>SUM(FI13:FI14)</f>
        <v>0</v>
      </c>
      <c r="FJ15" s="25">
        <f t="shared" si="189"/>
        <v>764.83</v>
      </c>
      <c r="FK15" s="26">
        <f>(FK13*FW13+FK14*FW14)/FW15</f>
        <v>51.399865591397848</v>
      </c>
      <c r="FL15" s="25">
        <f t="shared" si="189"/>
        <v>0</v>
      </c>
      <c r="FM15" s="26">
        <f>(FM13*FW13+FM14*FW14)/FW15</f>
        <v>0</v>
      </c>
      <c r="FN15" s="26">
        <f>SUM(FN13:FN14)</f>
        <v>59.17</v>
      </c>
      <c r="FO15" s="30">
        <f>(FO13*FW13+FO14*FW14)/FW15</f>
        <v>3.9764784946236564</v>
      </c>
      <c r="FP15" s="25">
        <f t="shared" si="189"/>
        <v>47.41</v>
      </c>
      <c r="FQ15" s="26">
        <f>(FQ13*FW13+FQ14*FW14)/FW15</f>
        <v>44.623655913978503</v>
      </c>
      <c r="FR15" s="7">
        <f>(FR13*FW13+FR14*FW14)/FW15</f>
        <v>41.437500000000007</v>
      </c>
      <c r="FS15" s="7">
        <f>(FS13*FW13+FS14*FW14)/FW15</f>
        <v>54.982258370690538</v>
      </c>
      <c r="FT15" s="7">
        <f>(FT13*FW13+FT14*FW14)/FW15</f>
        <v>30.339319494225407</v>
      </c>
      <c r="FU15" s="30">
        <f>SUM(FU13:FU14)</f>
        <v>1488</v>
      </c>
      <c r="FV15" s="33">
        <f>SUM(FV13:FV14)</f>
        <v>97513</v>
      </c>
      <c r="FW15" s="31">
        <f>SUM(FW13:FW14)</f>
        <v>432</v>
      </c>
      <c r="FX15" s="15"/>
      <c r="FY15" s="16"/>
      <c r="FZ15" s="32" t="s">
        <v>39</v>
      </c>
      <c r="GA15" s="25">
        <f>SUM(GA13:GA14)</f>
        <v>548</v>
      </c>
      <c r="GB15" s="25">
        <f t="shared" ref="GB15:GJ15" si="190">SUM(GB13:GB14)</f>
        <v>548</v>
      </c>
      <c r="GC15" s="25">
        <f>SUM(GC13:GC14)</f>
        <v>0</v>
      </c>
      <c r="GD15" s="25">
        <f t="shared" si="190"/>
        <v>733.92</v>
      </c>
      <c r="GE15" s="78">
        <f>(GE13*GQ13+GE14*GQ14)/GQ15</f>
        <v>0.5096666666666666</v>
      </c>
      <c r="GF15" s="25">
        <f t="shared" si="190"/>
        <v>0</v>
      </c>
      <c r="GG15" s="26">
        <f>(GG13*GQ13+GG14*GQ14)/GQ15</f>
        <v>0</v>
      </c>
      <c r="GH15" s="26">
        <f>SUM(GH13:GH14)</f>
        <v>158.08000000000001</v>
      </c>
      <c r="GI15" s="26">
        <f>(GI13*GQ13+GI14*GQ14)/GQ15</f>
        <v>10.977777777777776</v>
      </c>
      <c r="GJ15" s="25">
        <f t="shared" si="190"/>
        <v>37.32</v>
      </c>
      <c r="GK15" s="26">
        <f>(GK13*GQ13+GK14*GQ14)/GQ15</f>
        <v>36.827956989247312</v>
      </c>
      <c r="GL15" s="7">
        <f>(GL13*GQ13+GL14*GQ14)/GQ15</f>
        <v>35.463888888888889</v>
      </c>
      <c r="GM15" s="7">
        <f>(GM13*GQ13+GM14*GQ14)/GQ15</f>
        <v>54.55936788154898</v>
      </c>
      <c r="GN15" s="7">
        <f>(GN13*GQ13+GN14*GQ14)/GQ15</f>
        <v>27.580375514403293</v>
      </c>
      <c r="GO15" s="30">
        <f>SUM(GO13:GO14)</f>
        <v>1440</v>
      </c>
      <c r="GP15" s="33">
        <f>SUM(GP13:GP14)</f>
        <v>85786</v>
      </c>
      <c r="GQ15" s="31">
        <f>SUM(GQ13:GQ14)</f>
        <v>432</v>
      </c>
      <c r="GR15" s="15"/>
      <c r="GS15" s="16"/>
      <c r="GT15" s="32" t="s">
        <v>39</v>
      </c>
      <c r="GU15" s="25">
        <f>SUM(GU13:GU14)</f>
        <v>744</v>
      </c>
      <c r="GV15" s="25">
        <f t="shared" ref="GV15:HD15" si="191">SUM(GV13:GV14)</f>
        <v>744</v>
      </c>
      <c r="GW15" s="25">
        <f>SUM(GW13:GW14)</f>
        <v>0</v>
      </c>
      <c r="GX15" s="25">
        <f t="shared" si="191"/>
        <v>744</v>
      </c>
      <c r="GY15" s="26">
        <f>(GY13*HK13+GY14*HK14)/HK15</f>
        <v>50</v>
      </c>
      <c r="GZ15" s="25">
        <f t="shared" si="191"/>
        <v>0</v>
      </c>
      <c r="HA15" s="26">
        <f>(HA13*HK13+HA14*HK14)/HK15</f>
        <v>0</v>
      </c>
      <c r="HB15" s="26">
        <f>SUM(HB13:HB14)</f>
        <v>0</v>
      </c>
      <c r="HC15" s="26">
        <f>(HC13*HK13+HC14*HK14)/HK15</f>
        <v>0</v>
      </c>
      <c r="HD15" s="25">
        <f t="shared" si="191"/>
        <v>73.489999999999995</v>
      </c>
      <c r="HE15" s="26">
        <f>(HE13*HK13+HE14*HK14)/HK15</f>
        <v>50</v>
      </c>
      <c r="HF15" s="7">
        <f>(HF13*HK13+HF14*HK14)/HK15</f>
        <v>45.061155913978503</v>
      </c>
      <c r="HG15" s="7">
        <f>(HG13*HK13+HG14*HK14)/HK15</f>
        <v>54.938844086021511</v>
      </c>
      <c r="HH15" s="7">
        <f>(HH13*HK13+HH14*HK14)/HK15</f>
        <v>33.615218040621265</v>
      </c>
      <c r="HI15" s="30">
        <f>SUM(HI13:HI14)</f>
        <v>1488</v>
      </c>
      <c r="HJ15" s="33">
        <f>SUM(HJ13:HJ14)</f>
        <v>108042</v>
      </c>
      <c r="HK15" s="31">
        <f>SUM(HK13:HK14)</f>
        <v>432</v>
      </c>
      <c r="HL15" s="15"/>
      <c r="HM15" s="16"/>
      <c r="HN15" s="32" t="s">
        <v>39</v>
      </c>
      <c r="HO15" s="29">
        <f>SUM(HO13:HO14)</f>
        <v>540.84</v>
      </c>
      <c r="HP15" s="29">
        <f t="shared" ref="HP15:HX15" si="192">SUM(HP13:HP14)</f>
        <v>540.84</v>
      </c>
      <c r="HQ15" s="29">
        <f t="shared" si="192"/>
        <v>0</v>
      </c>
      <c r="HR15" s="29">
        <f t="shared" si="192"/>
        <v>899.16</v>
      </c>
      <c r="HS15" s="26">
        <f>(HS13*IE13+HS14*IE14)/IE15</f>
        <v>62.441666666666663</v>
      </c>
      <c r="HT15" s="29">
        <f t="shared" si="192"/>
        <v>0</v>
      </c>
      <c r="HU15" s="26">
        <f>(HU13*IE13+HU14*IE14)/IE15</f>
        <v>0</v>
      </c>
      <c r="HV15" s="29">
        <f t="shared" si="192"/>
        <v>0</v>
      </c>
      <c r="HW15" s="26">
        <f>(HW13*IE13+HW14*IE14)/IE15</f>
        <v>0</v>
      </c>
      <c r="HX15" s="29">
        <f t="shared" si="192"/>
        <v>140.85</v>
      </c>
      <c r="HY15" s="30">
        <f>(HY13*IE13+HY14*IE14)/IE15</f>
        <v>37.558333333333337</v>
      </c>
      <c r="HZ15" s="193">
        <f>(HZ13*IE13+HZ14*IE14)/IE15</f>
        <v>27.777083333333334</v>
      </c>
      <c r="IA15" s="193">
        <f>(IA13*IE13+IA14*IE14)/IE15</f>
        <v>72.222916666666663</v>
      </c>
      <c r="IB15" s="193">
        <f>(IB13*IE13+IB14*IE14)/IE15</f>
        <v>23.409188528806585</v>
      </c>
      <c r="IC15" s="30">
        <f>SUM(IC13:IC14)</f>
        <v>1440</v>
      </c>
      <c r="ID15" s="45">
        <f>SUM(ID13:ID14)</f>
        <v>72811.94</v>
      </c>
      <c r="IE15" s="31">
        <f>SUM(IE13:IE14)</f>
        <v>432</v>
      </c>
      <c r="IF15" s="31">
        <f>SUM(IF13:IF14)</f>
        <v>178</v>
      </c>
    </row>
    <row r="16" spans="1:240" ht="15" x14ac:dyDescent="0.25">
      <c r="A16" s="16" t="s">
        <v>42</v>
      </c>
      <c r="B16" s="17">
        <v>5</v>
      </c>
      <c r="C16" s="8">
        <v>542.6</v>
      </c>
      <c r="D16" s="8">
        <v>542.6</v>
      </c>
      <c r="E16" s="8">
        <v>0</v>
      </c>
      <c r="F16" s="8">
        <v>192.87</v>
      </c>
      <c r="G16" s="6">
        <f>(F16/$B$4)*100</f>
        <v>25.923387096774192</v>
      </c>
      <c r="H16" s="8">
        <v>8.5299999999999994</v>
      </c>
      <c r="I16" s="6">
        <f>(H16/$B$4)*100</f>
        <v>1.1465053763440858</v>
      </c>
      <c r="J16" s="6">
        <v>0</v>
      </c>
      <c r="K16" s="6">
        <f>(J16/$B$4)*100</f>
        <v>0</v>
      </c>
      <c r="L16" s="8">
        <v>121.79</v>
      </c>
      <c r="M16" s="6">
        <f>(C16/$B$4)*100</f>
        <v>72.930107526881727</v>
      </c>
      <c r="N16" s="6">
        <f>((C16-L16)/$B$4)*100</f>
        <v>56.560483870967737</v>
      </c>
      <c r="O16" s="18">
        <f t="shared" si="116"/>
        <v>42.783526180537621</v>
      </c>
      <c r="P16" s="6">
        <f>(R16/($B$4*S16))*100</f>
        <v>46.485706792551795</v>
      </c>
      <c r="Q16" s="6">
        <f>SUM(D16:F16,H16,J16)</f>
        <v>744</v>
      </c>
      <c r="R16" s="86">
        <v>141800</v>
      </c>
      <c r="S16" s="8">
        <v>410</v>
      </c>
      <c r="U16" s="16" t="s">
        <v>42</v>
      </c>
      <c r="V16" s="17">
        <v>5</v>
      </c>
      <c r="W16" s="8">
        <f>$V$4-Z16-AB16</f>
        <v>652.83000000000004</v>
      </c>
      <c r="X16" s="8">
        <v>652.83000000000004</v>
      </c>
      <c r="Y16" s="8">
        <v>0</v>
      </c>
      <c r="Z16" s="8">
        <v>91.17</v>
      </c>
      <c r="AA16" s="6">
        <f t="shared" si="117"/>
        <v>12.254032258064516</v>
      </c>
      <c r="AB16" s="8">
        <v>0</v>
      </c>
      <c r="AC16" s="6">
        <f t="shared" si="118"/>
        <v>0</v>
      </c>
      <c r="AD16" s="6">
        <v>0</v>
      </c>
      <c r="AE16" s="6">
        <f t="shared" si="118"/>
        <v>0</v>
      </c>
      <c r="AF16" s="8">
        <v>161</v>
      </c>
      <c r="AG16" s="6">
        <f>(W16/$V$4)*100</f>
        <v>87.745967741935488</v>
      </c>
      <c r="AH16" s="6">
        <f t="shared" si="119"/>
        <v>66.106182795698928</v>
      </c>
      <c r="AI16" s="18">
        <f t="shared" si="120"/>
        <v>33.893817204301079</v>
      </c>
      <c r="AJ16" s="6">
        <f>(AL16/($V$4*AM16))*100</f>
        <v>54.153553632310512</v>
      </c>
      <c r="AK16" s="6">
        <f>SUM(X16:Z16,AB16,AD16)</f>
        <v>744</v>
      </c>
      <c r="AL16" s="86">
        <v>165190</v>
      </c>
      <c r="AM16" s="8">
        <v>410</v>
      </c>
      <c r="AO16" s="16" t="s">
        <v>42</v>
      </c>
      <c r="AP16" s="17">
        <v>5</v>
      </c>
      <c r="AQ16" s="8">
        <v>720</v>
      </c>
      <c r="AR16" s="8">
        <v>720</v>
      </c>
      <c r="AS16" s="8">
        <v>0</v>
      </c>
      <c r="AT16" s="8">
        <v>0</v>
      </c>
      <c r="AU16" s="6">
        <f t="shared" si="121"/>
        <v>0</v>
      </c>
      <c r="AV16" s="8">
        <v>0</v>
      </c>
      <c r="AW16" s="6">
        <f t="shared" si="122"/>
        <v>0</v>
      </c>
      <c r="AX16" s="6">
        <v>0</v>
      </c>
      <c r="AY16" s="6">
        <f>(AX16/$AP$4)*100</f>
        <v>0</v>
      </c>
      <c r="AZ16" s="8">
        <v>220.25</v>
      </c>
      <c r="BA16" s="6">
        <f>(AQ16/$AP$4)*100</f>
        <v>100</v>
      </c>
      <c r="BB16" s="6">
        <f t="shared" si="123"/>
        <v>69.409722222222229</v>
      </c>
      <c r="BC16" s="18">
        <f t="shared" si="124"/>
        <v>30.590277777777779</v>
      </c>
      <c r="BD16" s="6">
        <f t="shared" ref="BD16:BD20" si="193">(BF16/($AP$4*BG16))*100</f>
        <v>62.645663956639567</v>
      </c>
      <c r="BE16" s="6">
        <f>SUM(AR16:AT16,AV16,AX16)</f>
        <v>720</v>
      </c>
      <c r="BF16" s="86">
        <v>184930</v>
      </c>
      <c r="BG16" s="8">
        <v>410</v>
      </c>
      <c r="BI16" s="16" t="s">
        <v>42</v>
      </c>
      <c r="BJ16" s="17">
        <v>5</v>
      </c>
      <c r="BK16" s="8">
        <v>650.33000000000004</v>
      </c>
      <c r="BL16" s="8">
        <v>650.33000000000004</v>
      </c>
      <c r="BM16" s="8">
        <v>0</v>
      </c>
      <c r="BN16" s="8">
        <v>93.67</v>
      </c>
      <c r="BO16" s="6">
        <f t="shared" si="126"/>
        <v>12.590053763440862</v>
      </c>
      <c r="BP16" s="8">
        <v>0</v>
      </c>
      <c r="BQ16" s="6">
        <f t="shared" si="127"/>
        <v>0</v>
      </c>
      <c r="BR16" s="6">
        <v>0</v>
      </c>
      <c r="BS16" s="6">
        <f>(BR16/$BJ$4)*100</f>
        <v>0</v>
      </c>
      <c r="BT16" s="8">
        <v>256</v>
      </c>
      <c r="BU16" s="6">
        <f>(BK16/$BJ$4)*100</f>
        <v>87.409946236559151</v>
      </c>
      <c r="BV16" s="6">
        <f t="shared" si="128"/>
        <v>53.001344086021504</v>
      </c>
      <c r="BW16" s="18">
        <f t="shared" si="129"/>
        <v>46.998655913978496</v>
      </c>
      <c r="BX16" s="6">
        <f t="shared" si="30"/>
        <v>49.691843692630478</v>
      </c>
      <c r="BY16" s="6">
        <f>SUM(BL16:BN16,BP16,BR16)</f>
        <v>744</v>
      </c>
      <c r="BZ16" s="86">
        <v>151580</v>
      </c>
      <c r="CA16" s="8">
        <v>410</v>
      </c>
      <c r="CC16" s="16" t="s">
        <v>42</v>
      </c>
      <c r="CD16" s="17">
        <v>5</v>
      </c>
      <c r="CE16" s="8">
        <v>720</v>
      </c>
      <c r="CF16" s="8">
        <v>720</v>
      </c>
      <c r="CG16" s="8">
        <v>0</v>
      </c>
      <c r="CH16" s="8">
        <v>0</v>
      </c>
      <c r="CI16" s="6">
        <f t="shared" ref="CI16:CI17" si="194">(CH16/$CD$4)*100</f>
        <v>0</v>
      </c>
      <c r="CJ16" s="8">
        <v>0</v>
      </c>
      <c r="CK16" s="6">
        <f t="shared" si="131"/>
        <v>0</v>
      </c>
      <c r="CL16" s="6">
        <v>0</v>
      </c>
      <c r="CM16" s="6">
        <f>(CL16/$CD$4)*100</f>
        <v>0</v>
      </c>
      <c r="CN16" s="8">
        <v>261</v>
      </c>
      <c r="CO16" s="6">
        <f>(CE16/$CD$4)*100</f>
        <v>100</v>
      </c>
      <c r="CP16" s="6">
        <f t="shared" si="132"/>
        <v>63.749999999999993</v>
      </c>
      <c r="CQ16" s="18">
        <f>IF((AND(CF16=0,CH16=0)),0,(CH16+CN16)/(CF16+CH16)*100)</f>
        <v>36.25</v>
      </c>
      <c r="CR16" s="6">
        <f t="shared" si="38"/>
        <v>55.416666666666671</v>
      </c>
      <c r="CS16" s="6">
        <f>SUM(CF16:CH16,CJ16,CL16)</f>
        <v>720</v>
      </c>
      <c r="CT16" s="86">
        <v>163590</v>
      </c>
      <c r="CU16" s="8">
        <v>410</v>
      </c>
      <c r="CW16" s="16" t="s">
        <v>42</v>
      </c>
      <c r="CX16" s="17">
        <v>5</v>
      </c>
      <c r="CY16" s="8">
        <v>637.9</v>
      </c>
      <c r="CZ16" s="8">
        <v>637.9</v>
      </c>
      <c r="DA16" s="8">
        <v>0</v>
      </c>
      <c r="DB16" s="8">
        <v>106.1</v>
      </c>
      <c r="DC16" s="6">
        <f t="shared" si="133"/>
        <v>14.260752688172044</v>
      </c>
      <c r="DD16" s="8">
        <v>0</v>
      </c>
      <c r="DE16" s="6">
        <f t="shared" si="134"/>
        <v>0</v>
      </c>
      <c r="DF16" s="6">
        <v>0</v>
      </c>
      <c r="DG16" s="6">
        <f>(DF16/$CX$4)*100</f>
        <v>0</v>
      </c>
      <c r="DH16" s="8">
        <v>323.64999999999998</v>
      </c>
      <c r="DI16" s="6">
        <f>(CY16/$V$4)*100</f>
        <v>85.739247311827953</v>
      </c>
      <c r="DJ16" s="6">
        <f t="shared" si="135"/>
        <v>42.237903225806448</v>
      </c>
      <c r="DK16" s="18">
        <f t="shared" si="136"/>
        <v>57.762096774193552</v>
      </c>
      <c r="DL16" s="6">
        <f>(DN16/($CX$4*DO16))*100</f>
        <v>39.909520062942569</v>
      </c>
      <c r="DM16" s="6">
        <f>SUM(CZ16:DB16,DD16,DF16)</f>
        <v>744</v>
      </c>
      <c r="DN16" s="86">
        <v>121740</v>
      </c>
      <c r="DO16" s="8">
        <v>410</v>
      </c>
      <c r="DQ16" s="16" t="s">
        <v>42</v>
      </c>
      <c r="DR16" s="17">
        <v>5</v>
      </c>
      <c r="DS16" s="8">
        <v>696.08</v>
      </c>
      <c r="DT16" s="8">
        <v>696.08</v>
      </c>
      <c r="DU16" s="8">
        <v>0</v>
      </c>
      <c r="DV16" s="8">
        <v>47.92</v>
      </c>
      <c r="DW16" s="6">
        <f t="shared" ref="DW16:DW17" si="195">(DV16/$DR$4)*100</f>
        <v>6.440860215053763</v>
      </c>
      <c r="DX16" s="8">
        <v>0</v>
      </c>
      <c r="DY16" s="6">
        <f t="shared" ref="DY16:DY17" si="196">(DX16/$DR$4)*100</f>
        <v>0</v>
      </c>
      <c r="DZ16" s="6">
        <v>0</v>
      </c>
      <c r="EA16" s="6">
        <f>(DZ16/$DR$4)*100</f>
        <v>0</v>
      </c>
      <c r="EB16" s="8">
        <v>395.01</v>
      </c>
      <c r="EC16" s="6">
        <f>(DS16/$V$4)*100</f>
        <v>93.55913978494624</v>
      </c>
      <c r="ED16" s="6">
        <f t="shared" ref="ED16:ED17" si="197">((DS16-EB16)/$DR$4)*100</f>
        <v>40.466397849462368</v>
      </c>
      <c r="EE16" s="18">
        <f>IF((AND(DT16=0,DV16=0)),0,(DV16+EB16)/(DT16+DV16)*100)</f>
        <v>59.533602150537632</v>
      </c>
      <c r="EF16" s="6">
        <f>(EH16/($DR$4*EI16))*100</f>
        <v>46.380802517702598</v>
      </c>
      <c r="EG16" s="6">
        <f>SUM(DT16:DV16,DX16,DZ16)</f>
        <v>744</v>
      </c>
      <c r="EH16" s="86">
        <v>141480</v>
      </c>
      <c r="EI16" s="8">
        <v>410</v>
      </c>
      <c r="EK16" s="16" t="s">
        <v>42</v>
      </c>
      <c r="EL16" s="17">
        <v>5</v>
      </c>
      <c r="EM16" s="8">
        <v>646.73</v>
      </c>
      <c r="EN16" s="8">
        <v>646.73</v>
      </c>
      <c r="EO16" s="8">
        <v>0</v>
      </c>
      <c r="EP16" s="8">
        <v>0</v>
      </c>
      <c r="EQ16" s="6">
        <f t="shared" si="140"/>
        <v>0</v>
      </c>
      <c r="ER16" s="8">
        <v>25.27</v>
      </c>
      <c r="ES16" s="6">
        <f t="shared" si="141"/>
        <v>3.760416666666667</v>
      </c>
      <c r="ET16" s="6">
        <v>0</v>
      </c>
      <c r="EU16" s="6">
        <f>(ET16/$EL$4)*100</f>
        <v>0</v>
      </c>
      <c r="EV16" s="8">
        <v>294.86</v>
      </c>
      <c r="EW16" s="6">
        <f>(EM16/$V$4)*100</f>
        <v>86.9260752688172</v>
      </c>
      <c r="EX16" s="6">
        <f t="shared" si="142"/>
        <v>52.361607142857146</v>
      </c>
      <c r="EY16" s="18">
        <f>IF((AND(EN16=0,EP16=0)),0,(EP16+EV16)/(EN16+EP16)*100)</f>
        <v>45.592441977332115</v>
      </c>
      <c r="EZ16" s="6">
        <f>(FB16/($EL$4*FC16))*100</f>
        <v>45.056620209059233</v>
      </c>
      <c r="FA16" s="6">
        <f>SUM(EN16:EP16,ER16,ET16)</f>
        <v>672</v>
      </c>
      <c r="FB16" s="86">
        <v>124140</v>
      </c>
      <c r="FC16" s="8">
        <v>410</v>
      </c>
      <c r="FE16" s="16" t="s">
        <v>42</v>
      </c>
      <c r="FF16" s="17">
        <v>5</v>
      </c>
      <c r="FG16" s="8">
        <v>0</v>
      </c>
      <c r="FH16" s="8">
        <v>0</v>
      </c>
      <c r="FI16" s="8">
        <v>0</v>
      </c>
      <c r="FJ16" s="8">
        <v>0</v>
      </c>
      <c r="FK16" s="6">
        <f>(FJ16/FF4)*100</f>
        <v>0</v>
      </c>
      <c r="FL16" s="8">
        <v>744</v>
      </c>
      <c r="FM16" s="6">
        <f>(FL16/$FF$4)*100</f>
        <v>100</v>
      </c>
      <c r="FN16" s="6">
        <v>0</v>
      </c>
      <c r="FO16" s="6">
        <f>(FN16/$FF$4)*100</f>
        <v>0</v>
      </c>
      <c r="FP16" s="8">
        <v>0</v>
      </c>
      <c r="FQ16" s="6">
        <f>(FG16/$V$4)*100</f>
        <v>0</v>
      </c>
      <c r="FR16" s="6">
        <f>((FG16-FP16)/$FF$4)*100</f>
        <v>0</v>
      </c>
      <c r="FS16" s="18">
        <f t="shared" si="143"/>
        <v>0</v>
      </c>
      <c r="FT16" s="6">
        <f>(FV16/($FF$4*FW16))*100</f>
        <v>0</v>
      </c>
      <c r="FU16" s="6">
        <f>SUM(FH16:FJ16,FL16,FN16)</f>
        <v>744</v>
      </c>
      <c r="FV16" s="8">
        <v>0</v>
      </c>
      <c r="FW16" s="8">
        <v>410</v>
      </c>
      <c r="FY16" s="16" t="s">
        <v>42</v>
      </c>
      <c r="FZ16" s="17">
        <v>5</v>
      </c>
      <c r="GA16" s="8">
        <v>0</v>
      </c>
      <c r="GB16" s="8">
        <v>0</v>
      </c>
      <c r="GC16" s="8">
        <v>0</v>
      </c>
      <c r="GD16" s="8">
        <v>0</v>
      </c>
      <c r="GE16" s="6">
        <f>(GD16/$FZ$4)</f>
        <v>0</v>
      </c>
      <c r="GF16" s="8">
        <v>720</v>
      </c>
      <c r="GG16" s="6">
        <f t="shared" si="144"/>
        <v>100</v>
      </c>
      <c r="GH16" s="6">
        <v>0</v>
      </c>
      <c r="GI16" s="6">
        <f>(GH16/$FZ$4)*100</f>
        <v>0</v>
      </c>
      <c r="GJ16" s="8">
        <v>0</v>
      </c>
      <c r="GK16" s="6">
        <f>(GA16/$V$4)*100</f>
        <v>0</v>
      </c>
      <c r="GL16" s="6">
        <f t="shared" si="145"/>
        <v>0</v>
      </c>
      <c r="GM16" s="18">
        <f>IF((AND(GB16=0,GD16=0)),0,(GD16+GJ16)/(GB16+GD16)*100)</f>
        <v>0</v>
      </c>
      <c r="GN16" s="6">
        <f>(GP16/($FZ$4*GQ16))*100</f>
        <v>0</v>
      </c>
      <c r="GO16" s="6">
        <f>SUM(GB16:GD16,GF16,GH16)</f>
        <v>720</v>
      </c>
      <c r="GP16" s="8">
        <v>0</v>
      </c>
      <c r="GQ16" s="8">
        <v>410</v>
      </c>
      <c r="GS16" s="16" t="s">
        <v>42</v>
      </c>
      <c r="GT16" s="17">
        <v>5</v>
      </c>
      <c r="GU16" s="8">
        <v>650.6</v>
      </c>
      <c r="GV16" s="8">
        <v>650.6</v>
      </c>
      <c r="GW16" s="8">
        <v>0</v>
      </c>
      <c r="GX16" s="8">
        <v>74.77</v>
      </c>
      <c r="GY16" s="6">
        <f t="shared" si="80"/>
        <v>10.049731182795698</v>
      </c>
      <c r="GZ16" s="8">
        <v>18.63</v>
      </c>
      <c r="HA16" s="6">
        <f t="shared" si="80"/>
        <v>2.504032258064516</v>
      </c>
      <c r="HB16" s="6">
        <v>0</v>
      </c>
      <c r="HC16" s="6">
        <f>(HB16/$GT$4)*100</f>
        <v>0</v>
      </c>
      <c r="HD16" s="8">
        <v>77.87</v>
      </c>
      <c r="HE16" s="6">
        <f>(GU16/$GT$4)*100</f>
        <v>87.446236559139791</v>
      </c>
      <c r="HF16" s="6">
        <f t="shared" si="82"/>
        <v>76.979838709677423</v>
      </c>
      <c r="HG16" s="6">
        <f t="shared" si="83"/>
        <v>21.043053889739028</v>
      </c>
      <c r="HH16" s="6">
        <f t="shared" si="84"/>
        <v>53.881458169420405</v>
      </c>
      <c r="HI16" s="6">
        <f>SUM(GV16:GX16,GZ16,HB16)</f>
        <v>744</v>
      </c>
      <c r="HJ16" s="86">
        <v>164360</v>
      </c>
      <c r="HK16" s="8">
        <v>410</v>
      </c>
      <c r="HM16" s="16" t="s">
        <v>42</v>
      </c>
      <c r="HN16" s="17">
        <v>5</v>
      </c>
      <c r="HO16" s="52">
        <v>720</v>
      </c>
      <c r="HP16" s="52">
        <v>720</v>
      </c>
      <c r="HQ16" s="54">
        <v>0</v>
      </c>
      <c r="HR16" s="52">
        <v>0</v>
      </c>
      <c r="HS16" s="6">
        <f>(HR16/$HN$4)*100</f>
        <v>0</v>
      </c>
      <c r="HT16" s="8">
        <v>0</v>
      </c>
      <c r="HU16" s="6">
        <f>(HT16/$HN$4)*100</f>
        <v>0</v>
      </c>
      <c r="HV16" s="8">
        <v>0</v>
      </c>
      <c r="HW16" s="6">
        <f>(HV16/$HN$4)*100</f>
        <v>0</v>
      </c>
      <c r="HX16" s="52">
        <v>173.59</v>
      </c>
      <c r="HY16" s="6">
        <f>(HO16/$HN$4)*100</f>
        <v>100</v>
      </c>
      <c r="HZ16" s="21">
        <f>((HO16-HX16)/$HN$4)*100</f>
        <v>75.890277777777769</v>
      </c>
      <c r="IA16" s="21">
        <f t="shared" ref="IA16:IA17" si="198">IF((AND(HP16=0,HR16=0)),0,(HR16+HX16)/(HP16+HR16)*100)</f>
        <v>24.109722222222224</v>
      </c>
      <c r="IB16" s="6">
        <f>(ID16/($HN$4*IE16))*100</f>
        <v>66.537940379403793</v>
      </c>
      <c r="IC16" s="6">
        <f>SUM(HP16:HR16,HT16,HV16)</f>
        <v>720</v>
      </c>
      <c r="ID16" s="103">
        <v>196420</v>
      </c>
      <c r="IE16" s="8">
        <v>410</v>
      </c>
      <c r="IF16" s="15">
        <v>350</v>
      </c>
    </row>
    <row r="17" spans="1:240" ht="15" x14ac:dyDescent="0.25">
      <c r="A17" s="16" t="s">
        <v>43</v>
      </c>
      <c r="B17" s="17">
        <v>6</v>
      </c>
      <c r="C17" s="8">
        <v>744</v>
      </c>
      <c r="D17" s="8">
        <v>744</v>
      </c>
      <c r="E17" s="8">
        <v>0</v>
      </c>
      <c r="F17" s="8">
        <v>0</v>
      </c>
      <c r="G17" s="6">
        <f t="shared" ref="G17" si="199">(F17/$B$4)*100</f>
        <v>0</v>
      </c>
      <c r="H17" s="8">
        <v>0</v>
      </c>
      <c r="I17" s="6">
        <f t="shared" ref="I17" si="200">(H17/$B$4)*100</f>
        <v>0</v>
      </c>
      <c r="J17" s="6">
        <v>0</v>
      </c>
      <c r="K17" s="6">
        <f t="shared" ref="K17" si="201">(J17/$B$4)*100</f>
        <v>0</v>
      </c>
      <c r="L17" s="8">
        <v>66.72</v>
      </c>
      <c r="M17" s="8">
        <f t="shared" ref="M17" si="202">(C17/$B$4)*100</f>
        <v>100</v>
      </c>
      <c r="N17" s="6">
        <f t="shared" ref="N17" si="203">((C17-L17)/$B$4)*100</f>
        <v>91.032258064516128</v>
      </c>
      <c r="O17" s="18">
        <f t="shared" si="116"/>
        <v>8.9677419354838701</v>
      </c>
      <c r="P17" s="6">
        <f t="shared" ref="P17" si="204">(R17/($B$4*S17))*100</f>
        <v>69.98426435877262</v>
      </c>
      <c r="Q17" s="6">
        <f t="shared" ref="Q17" si="205">SUM(D17:F17,H17,J17)</f>
        <v>744</v>
      </c>
      <c r="R17" s="86">
        <v>213480</v>
      </c>
      <c r="S17" s="8">
        <v>410</v>
      </c>
      <c r="U17" s="16" t="s">
        <v>43</v>
      </c>
      <c r="V17" s="17">
        <v>6</v>
      </c>
      <c r="W17" s="8">
        <f>$V$4-Z17-AB17</f>
        <v>602.33000000000004</v>
      </c>
      <c r="X17" s="8">
        <v>602.33000000000004</v>
      </c>
      <c r="Y17" s="8">
        <v>0</v>
      </c>
      <c r="Z17" s="8">
        <v>141.66999999999999</v>
      </c>
      <c r="AA17" s="6">
        <f t="shared" si="117"/>
        <v>19.041666666666664</v>
      </c>
      <c r="AB17" s="8">
        <v>0</v>
      </c>
      <c r="AC17" s="6">
        <f t="shared" si="118"/>
        <v>0</v>
      </c>
      <c r="AD17" s="6">
        <v>0</v>
      </c>
      <c r="AE17" s="6">
        <f t="shared" si="118"/>
        <v>0</v>
      </c>
      <c r="AF17" s="8">
        <v>75</v>
      </c>
      <c r="AG17" s="6">
        <f>(W17/$V$4)*100</f>
        <v>80.958333333333343</v>
      </c>
      <c r="AH17" s="6">
        <f t="shared" si="119"/>
        <v>70.877688172043023</v>
      </c>
      <c r="AI17" s="18">
        <f t="shared" si="120"/>
        <v>29.122311827956988</v>
      </c>
      <c r="AJ17" s="6">
        <f t="shared" ref="AJ17" si="206">(AL17/($V$4*AM17))*100</f>
        <v>51.799763965381587</v>
      </c>
      <c r="AK17" s="6">
        <f t="shared" ref="AK17" si="207">SUM(X17:Z17,AB17,AD17)</f>
        <v>744</v>
      </c>
      <c r="AL17" s="86">
        <v>158010</v>
      </c>
      <c r="AM17" s="8">
        <v>410</v>
      </c>
      <c r="AO17" s="16" t="s">
        <v>43</v>
      </c>
      <c r="AP17" s="17">
        <v>6</v>
      </c>
      <c r="AQ17" s="8">
        <v>720</v>
      </c>
      <c r="AR17" s="8">
        <v>720</v>
      </c>
      <c r="AS17" s="8">
        <v>0</v>
      </c>
      <c r="AT17" s="8">
        <v>0</v>
      </c>
      <c r="AU17" s="6">
        <f t="shared" si="121"/>
        <v>0</v>
      </c>
      <c r="AV17" s="8">
        <v>0</v>
      </c>
      <c r="AW17" s="6">
        <f t="shared" si="122"/>
        <v>0</v>
      </c>
      <c r="AX17" s="6">
        <v>0</v>
      </c>
      <c r="AY17" s="6">
        <f>(AX17/$AP$4)*100</f>
        <v>0</v>
      </c>
      <c r="AZ17" s="8">
        <v>69.22</v>
      </c>
      <c r="BA17" s="6">
        <f t="shared" ref="BA17" si="208">(AQ17/$AP$4)*100</f>
        <v>100</v>
      </c>
      <c r="BB17" s="6">
        <f t="shared" si="123"/>
        <v>90.386111111111106</v>
      </c>
      <c r="BC17" s="18">
        <f t="shared" si="124"/>
        <v>9.6138888888888889</v>
      </c>
      <c r="BD17" s="6">
        <f t="shared" si="193"/>
        <v>68.441734417344165</v>
      </c>
      <c r="BE17" s="6">
        <f t="shared" ref="BE17" si="209">SUM(AR17:AT17,AV17,AX17)</f>
        <v>720</v>
      </c>
      <c r="BF17" s="86">
        <v>202040</v>
      </c>
      <c r="BG17" s="8">
        <v>410</v>
      </c>
      <c r="BI17" s="16" t="s">
        <v>43</v>
      </c>
      <c r="BJ17" s="17">
        <v>6</v>
      </c>
      <c r="BK17" s="8">
        <v>744</v>
      </c>
      <c r="BL17" s="8">
        <v>744</v>
      </c>
      <c r="BM17" s="8">
        <v>0</v>
      </c>
      <c r="BN17" s="8">
        <v>0</v>
      </c>
      <c r="BO17" s="6">
        <f t="shared" si="126"/>
        <v>0</v>
      </c>
      <c r="BP17" s="8">
        <v>0</v>
      </c>
      <c r="BQ17" s="6">
        <f t="shared" si="127"/>
        <v>0</v>
      </c>
      <c r="BR17" s="6">
        <v>0</v>
      </c>
      <c r="BS17" s="6">
        <f>(BR17/$BJ$4)*100</f>
        <v>0</v>
      </c>
      <c r="BT17" s="8">
        <v>77</v>
      </c>
      <c r="BU17" s="6">
        <f t="shared" ref="BU17" si="210">(BK17/$BJ$4)*100</f>
        <v>100</v>
      </c>
      <c r="BV17" s="6">
        <f t="shared" si="128"/>
        <v>89.650537634408607</v>
      </c>
      <c r="BW17" s="18">
        <f t="shared" si="129"/>
        <v>10.349462365591398</v>
      </c>
      <c r="BX17" s="6">
        <f t="shared" si="30"/>
        <v>70.069499082087589</v>
      </c>
      <c r="BY17" s="6">
        <f t="shared" ref="BY17" si="211">SUM(BL17:BN17,BP17,BR17)</f>
        <v>744</v>
      </c>
      <c r="BZ17" s="86">
        <v>213740</v>
      </c>
      <c r="CA17" s="8">
        <v>410</v>
      </c>
      <c r="CC17" s="16" t="s">
        <v>43</v>
      </c>
      <c r="CD17" s="17">
        <v>6</v>
      </c>
      <c r="CE17" s="8">
        <v>720</v>
      </c>
      <c r="CF17" s="8">
        <v>720</v>
      </c>
      <c r="CG17" s="8">
        <v>0</v>
      </c>
      <c r="CH17" s="8">
        <v>0</v>
      </c>
      <c r="CI17" s="6">
        <f t="shared" si="194"/>
        <v>0</v>
      </c>
      <c r="CJ17" s="8">
        <v>0</v>
      </c>
      <c r="CK17" s="6">
        <f t="shared" si="131"/>
        <v>0</v>
      </c>
      <c r="CL17" s="6">
        <v>0</v>
      </c>
      <c r="CM17" s="6">
        <f t="shared" ref="CM17" si="212">(CL17/$CD$4)*100</f>
        <v>0</v>
      </c>
      <c r="CN17" s="8">
        <v>116</v>
      </c>
      <c r="CO17" s="6">
        <f t="shared" ref="CO17" si="213">(CE17/$CD$4)*100</f>
        <v>100</v>
      </c>
      <c r="CP17" s="6">
        <f t="shared" si="132"/>
        <v>83.888888888888886</v>
      </c>
      <c r="CQ17" s="18">
        <f t="shared" ref="CQ17" si="214">IF((AND(CF17=0,CH17=0)),0,(CH17+CN17)/(CF17+CH17)*100)</f>
        <v>16.111111111111111</v>
      </c>
      <c r="CR17" s="6">
        <f t="shared" si="38"/>
        <v>63.296070460704613</v>
      </c>
      <c r="CS17" s="6">
        <f t="shared" ref="CS17" si="215">SUM(CF17:CH17,CJ17,CL17)</f>
        <v>720</v>
      </c>
      <c r="CT17" s="86">
        <v>186850</v>
      </c>
      <c r="CU17" s="8">
        <v>410</v>
      </c>
      <c r="CW17" s="16" t="s">
        <v>43</v>
      </c>
      <c r="CX17" s="17">
        <v>6</v>
      </c>
      <c r="CY17" s="8">
        <v>705.51</v>
      </c>
      <c r="CZ17" s="8">
        <v>705.51</v>
      </c>
      <c r="DA17" s="8">
        <v>0</v>
      </c>
      <c r="DB17" s="8">
        <v>38.49</v>
      </c>
      <c r="DC17" s="6">
        <f t="shared" si="133"/>
        <v>5.1733870967741939</v>
      </c>
      <c r="DD17" s="8">
        <v>0</v>
      </c>
      <c r="DE17" s="6">
        <f t="shared" si="134"/>
        <v>0</v>
      </c>
      <c r="DF17" s="6">
        <v>0</v>
      </c>
      <c r="DG17" s="6">
        <f t="shared" ref="DG17" si="216">(DF17/$CX$4)*100</f>
        <v>0</v>
      </c>
      <c r="DH17" s="8">
        <v>69.61</v>
      </c>
      <c r="DI17" s="6">
        <f>(CY17/$V$4)*100</f>
        <v>94.826612903225808</v>
      </c>
      <c r="DJ17" s="6">
        <f t="shared" si="135"/>
        <v>85.47043010752688</v>
      </c>
      <c r="DK17" s="18">
        <f t="shared" si="136"/>
        <v>14.529569892473118</v>
      </c>
      <c r="DL17" s="6">
        <f t="shared" ref="DL17" si="217">(DN17/($CX$4*DO17))*100</f>
        <v>61.686991869918693</v>
      </c>
      <c r="DM17" s="6">
        <f t="shared" ref="DM17" si="218">SUM(CZ17:DB17,DD17,DF17)</f>
        <v>744</v>
      </c>
      <c r="DN17" s="86">
        <v>188170</v>
      </c>
      <c r="DO17" s="8">
        <v>410</v>
      </c>
      <c r="DQ17" s="16" t="s">
        <v>43</v>
      </c>
      <c r="DR17" s="17">
        <v>6</v>
      </c>
      <c r="DS17" s="8">
        <v>720.37</v>
      </c>
      <c r="DT17" s="8">
        <v>720.37</v>
      </c>
      <c r="DU17" s="8">
        <v>0</v>
      </c>
      <c r="DV17" s="8">
        <v>23.63</v>
      </c>
      <c r="DW17" s="6">
        <f t="shared" si="195"/>
        <v>3.1760752688172045</v>
      </c>
      <c r="DX17" s="8">
        <v>0</v>
      </c>
      <c r="DY17" s="6">
        <f t="shared" si="196"/>
        <v>0</v>
      </c>
      <c r="DZ17" s="6">
        <v>0</v>
      </c>
      <c r="EA17" s="6">
        <f>(DZ17/$DR$4)*100</f>
        <v>0</v>
      </c>
      <c r="EB17" s="8">
        <v>633.78</v>
      </c>
      <c r="EC17" s="6">
        <f>(DS17/$V$4)*100</f>
        <v>96.8239247311828</v>
      </c>
      <c r="ED17" s="6">
        <f t="shared" si="197"/>
        <v>11.638440860215058</v>
      </c>
      <c r="EE17" s="18">
        <f t="shared" ref="EE17" si="219">IF((AND(DT17=0,DV17=0)),0,(DV17+EB17)/(DT17+DV17)*100)</f>
        <v>88.361559139784944</v>
      </c>
      <c r="EF17" s="6">
        <f t="shared" ref="EF17" si="220">(EH17/($DR$4*EI17))*100</f>
        <v>63.014686598478889</v>
      </c>
      <c r="EG17" s="6">
        <f t="shared" ref="EG17" si="221">SUM(DT17:DV17,DX17,DZ17)</f>
        <v>744</v>
      </c>
      <c r="EH17" s="86">
        <v>192220</v>
      </c>
      <c r="EI17" s="8">
        <v>410</v>
      </c>
      <c r="EK17" s="16" t="s">
        <v>43</v>
      </c>
      <c r="EL17" s="17">
        <v>6</v>
      </c>
      <c r="EM17" s="8">
        <v>664.83</v>
      </c>
      <c r="EN17" s="8">
        <v>664.83</v>
      </c>
      <c r="EO17" s="8">
        <v>0</v>
      </c>
      <c r="EP17" s="8">
        <v>7.17</v>
      </c>
      <c r="EQ17" s="6">
        <f t="shared" si="140"/>
        <v>1.0669642857142856</v>
      </c>
      <c r="ER17" s="8">
        <v>0</v>
      </c>
      <c r="ES17" s="6">
        <f t="shared" si="141"/>
        <v>0</v>
      </c>
      <c r="ET17" s="6">
        <v>0</v>
      </c>
      <c r="EU17" s="6">
        <f>(ET17/$EL$4)*100</f>
        <v>0</v>
      </c>
      <c r="EV17" s="8">
        <v>64.849999999999994</v>
      </c>
      <c r="EW17" s="6">
        <f>(EM17/$V$4)*100</f>
        <v>89.35887096774195</v>
      </c>
      <c r="EX17" s="6">
        <f t="shared" si="142"/>
        <v>89.282738095238102</v>
      </c>
      <c r="EY17" s="18">
        <f t="shared" ref="EY17" si="222">IF((AND(EN17=0,EP17=0)),0,(EP17+EV17)/(EN17+EP17)*100)</f>
        <v>10.717261904761905</v>
      </c>
      <c r="EZ17" s="6">
        <f t="shared" ref="EZ17" si="223">(FB17/($EL$4*FC17))*100</f>
        <v>63.806620209059226</v>
      </c>
      <c r="FA17" s="6">
        <f t="shared" ref="FA17" si="224">SUM(EN17:EP17,ER17,ET17)</f>
        <v>672</v>
      </c>
      <c r="FB17" s="86">
        <v>175800</v>
      </c>
      <c r="FC17" s="8">
        <v>410</v>
      </c>
      <c r="FE17" s="16" t="s">
        <v>43</v>
      </c>
      <c r="FF17" s="17">
        <v>6</v>
      </c>
      <c r="FG17" s="8">
        <v>744</v>
      </c>
      <c r="FH17" s="8">
        <v>744</v>
      </c>
      <c r="FI17" s="8">
        <v>0</v>
      </c>
      <c r="FJ17" s="8">
        <v>0</v>
      </c>
      <c r="FK17" s="6">
        <f>(FJ17/FF4)*100</f>
        <v>0</v>
      </c>
      <c r="FL17" s="8">
        <v>0</v>
      </c>
      <c r="FM17" s="6">
        <f t="shared" ref="FM17" si="225">(FL17/$FF$4)*100</f>
        <v>0</v>
      </c>
      <c r="FN17" s="6">
        <v>0</v>
      </c>
      <c r="FO17" s="6">
        <f t="shared" ref="FO17" si="226">(FN17/$FF$4)*100</f>
        <v>0</v>
      </c>
      <c r="FP17" s="8">
        <v>98.46</v>
      </c>
      <c r="FQ17" s="6">
        <f>(FG17/$V$4)*100</f>
        <v>100</v>
      </c>
      <c r="FR17" s="6">
        <f t="shared" ref="FR17" si="227">((FG17-FP17)/$FF$4)*100</f>
        <v>86.76612903225805</v>
      </c>
      <c r="FS17" s="18">
        <f t="shared" si="143"/>
        <v>13.233870967741934</v>
      </c>
      <c r="FT17" s="6">
        <f t="shared" ref="FT17" si="228">(FV17/($FF$4*FW17))*100</f>
        <v>66.204432205612378</v>
      </c>
      <c r="FU17" s="6">
        <f t="shared" ref="FU17" si="229">SUM(FH17:FJ17,FL17,FN17)</f>
        <v>744</v>
      </c>
      <c r="FV17" s="86">
        <v>201950</v>
      </c>
      <c r="FW17" s="8">
        <v>410</v>
      </c>
      <c r="FY17" s="16" t="s">
        <v>43</v>
      </c>
      <c r="FZ17" s="17">
        <v>6</v>
      </c>
      <c r="GA17" s="8">
        <v>691.77</v>
      </c>
      <c r="GB17" s="8">
        <v>691.77</v>
      </c>
      <c r="GC17" s="8">
        <v>0</v>
      </c>
      <c r="GD17" s="8">
        <v>28.23</v>
      </c>
      <c r="GE17" s="6">
        <f>(GD17/$FZ$4)</f>
        <v>3.9208333333333331E-2</v>
      </c>
      <c r="GF17" s="8">
        <v>0</v>
      </c>
      <c r="GG17" s="6">
        <f t="shared" si="144"/>
        <v>0</v>
      </c>
      <c r="GH17" s="6">
        <v>0</v>
      </c>
      <c r="GI17" s="6">
        <f t="shared" ref="GI17" si="230">(GH17/$FZ$4)*100</f>
        <v>0</v>
      </c>
      <c r="GJ17" s="8">
        <v>101.23</v>
      </c>
      <c r="GK17" s="6">
        <f>(GA17/$V$4)*100</f>
        <v>92.979838709677423</v>
      </c>
      <c r="GL17" s="6">
        <f t="shared" si="145"/>
        <v>82.019444444444446</v>
      </c>
      <c r="GM17" s="18">
        <f t="shared" ref="GM17" si="231">IF((AND(GB17=0,GD17=0)),0,(GD17+GJ17)/(GB17+GD17)*100)</f>
        <v>17.980555555555558</v>
      </c>
      <c r="GN17" s="6">
        <f>(GP17/($FZ$4*GQ17))*100</f>
        <v>64.668021680216796</v>
      </c>
      <c r="GO17" s="6">
        <f t="shared" ref="GO17" si="232">SUM(GB17:GD17,GF17,GH17)</f>
        <v>720</v>
      </c>
      <c r="GP17" s="86">
        <v>190900</v>
      </c>
      <c r="GQ17" s="8">
        <v>410</v>
      </c>
      <c r="GS17" s="16" t="s">
        <v>43</v>
      </c>
      <c r="GT17" s="17">
        <v>6</v>
      </c>
      <c r="GU17" s="17">
        <v>744</v>
      </c>
      <c r="GV17" s="17">
        <v>744</v>
      </c>
      <c r="GW17" s="17">
        <v>0</v>
      </c>
      <c r="GX17" s="17">
        <v>0</v>
      </c>
      <c r="GY17" s="8">
        <f t="shared" si="80"/>
        <v>0</v>
      </c>
      <c r="GZ17" s="17">
        <v>0</v>
      </c>
      <c r="HA17" s="8">
        <f t="shared" si="80"/>
        <v>0</v>
      </c>
      <c r="HB17" s="8">
        <v>0</v>
      </c>
      <c r="HC17" s="6">
        <f t="shared" si="80"/>
        <v>0</v>
      </c>
      <c r="HD17" s="17">
        <v>108.88</v>
      </c>
      <c r="HE17" s="6">
        <f>(GU17/$GT$4)*100</f>
        <v>100</v>
      </c>
      <c r="HF17" s="6">
        <f t="shared" si="82"/>
        <v>85.365591397849457</v>
      </c>
      <c r="HG17" s="6">
        <f t="shared" si="83"/>
        <v>14.634408602150536</v>
      </c>
      <c r="HH17" s="6">
        <f t="shared" si="84"/>
        <v>68.197613427747186</v>
      </c>
      <c r="HI17" s="6">
        <f t="shared" ref="HI17" si="233">SUM(GV17:GX17,GZ17,HB17)</f>
        <v>744</v>
      </c>
      <c r="HJ17" s="104">
        <v>208030</v>
      </c>
      <c r="HK17" s="8">
        <v>410</v>
      </c>
      <c r="HM17" s="16" t="s">
        <v>43</v>
      </c>
      <c r="HN17" s="17">
        <v>6</v>
      </c>
      <c r="HO17" s="52">
        <v>700.27</v>
      </c>
      <c r="HP17" s="52">
        <v>700.27</v>
      </c>
      <c r="HQ17" s="54">
        <v>0</v>
      </c>
      <c r="HR17" s="52">
        <v>19.73</v>
      </c>
      <c r="HS17" s="6">
        <f t="shared" ref="HS17" si="234">(HR17/$HN$4)*100</f>
        <v>2.740277777777778</v>
      </c>
      <c r="HT17" s="8">
        <v>0</v>
      </c>
      <c r="HU17" s="6">
        <f t="shared" ref="HU17" si="235">(HT17/$HN$4)*100</f>
        <v>0</v>
      </c>
      <c r="HV17" s="8">
        <v>0</v>
      </c>
      <c r="HW17" s="6">
        <f t="shared" ref="HW17" si="236">(HV17/$HN$4)*100</f>
        <v>0</v>
      </c>
      <c r="HX17" s="52">
        <v>230.86</v>
      </c>
      <c r="HY17" s="6">
        <f>(HO17/$HN$4)*100</f>
        <v>97.259722222222223</v>
      </c>
      <c r="HZ17" s="21">
        <f>((HO17-HX17)/$HN$4)*100</f>
        <v>65.195833333333326</v>
      </c>
      <c r="IA17" s="6">
        <f t="shared" si="198"/>
        <v>34.804166666666667</v>
      </c>
      <c r="IB17" s="6">
        <f>(ID17/($HN$4*IE17))*100</f>
        <v>58.272357723577237</v>
      </c>
      <c r="IC17" s="6">
        <f t="shared" ref="IC17" si="237">SUM(HP17:HR17,HT17,HV17)</f>
        <v>720</v>
      </c>
      <c r="ID17" s="103">
        <v>172020</v>
      </c>
      <c r="IE17" s="8">
        <v>410</v>
      </c>
      <c r="IF17" s="15">
        <v>350</v>
      </c>
    </row>
    <row r="18" spans="1:240" ht="15" x14ac:dyDescent="0.25">
      <c r="A18" s="16"/>
      <c r="B18" s="87" t="s">
        <v>39</v>
      </c>
      <c r="C18" s="29">
        <f>SUM(C16:C17)</f>
        <v>1286.5999999999999</v>
      </c>
      <c r="D18" s="29">
        <f t="shared" ref="D18" si="238">SUM(D16:D17)</f>
        <v>1286.5999999999999</v>
      </c>
      <c r="E18" s="25">
        <f>SUM(E16:E17)</f>
        <v>0</v>
      </c>
      <c r="F18" s="29">
        <f t="shared" ref="F18" si="239">SUM(F16:F17)</f>
        <v>192.87</v>
      </c>
      <c r="G18" s="26">
        <f>(G16*S16+G17*S17)/S18</f>
        <v>12.961693548387096</v>
      </c>
      <c r="H18" s="29">
        <f t="shared" ref="H18:L18" si="240">SUM(H16:H17)</f>
        <v>8.5299999999999994</v>
      </c>
      <c r="I18" s="26">
        <f>(I16*S16+I17*S17)/S18</f>
        <v>0.57325268817204289</v>
      </c>
      <c r="J18" s="26">
        <f>SUM(J16:J17)</f>
        <v>0</v>
      </c>
      <c r="K18" s="26">
        <f>(K16*S16+K17*S17)/S18</f>
        <v>0</v>
      </c>
      <c r="L18" s="29">
        <f t="shared" si="240"/>
        <v>188.51</v>
      </c>
      <c r="M18" s="26">
        <f>(M16*S16+M17*S17)/S18</f>
        <v>86.465053763440864</v>
      </c>
      <c r="N18" s="7">
        <f>(N16*S16+N17*S17)/S18</f>
        <v>73.796370967741936</v>
      </c>
      <c r="O18" s="7">
        <f>(O16*S16+O17*S17)/S18</f>
        <v>25.875634058010743</v>
      </c>
      <c r="P18" s="7">
        <f>(P16*S16+P17*S17)/S18</f>
        <v>58.234985575662208</v>
      </c>
      <c r="Q18" s="30">
        <f>SUM(Q16:Q17)</f>
        <v>1488</v>
      </c>
      <c r="R18" s="89">
        <f>SUM(R16:R17)</f>
        <v>355280</v>
      </c>
      <c r="S18" s="31">
        <f>SUM(S16:S17)</f>
        <v>820</v>
      </c>
      <c r="T18" s="15"/>
      <c r="U18" s="16"/>
      <c r="V18" s="87" t="s">
        <v>39</v>
      </c>
      <c r="W18" s="29">
        <f>SUM(W16:W17)</f>
        <v>1255.1600000000001</v>
      </c>
      <c r="X18" s="29">
        <f t="shared" ref="X18:Z18" si="241">SUM(X16:X17)</f>
        <v>1255.1600000000001</v>
      </c>
      <c r="Y18" s="29">
        <f>SUM(Y16:Y17)</f>
        <v>0</v>
      </c>
      <c r="Z18" s="29">
        <f t="shared" si="241"/>
        <v>232.83999999999997</v>
      </c>
      <c r="AA18" s="30">
        <f>(AA16*AM16+AA17*AM17)/AM18</f>
        <v>15.647849462365588</v>
      </c>
      <c r="AB18" s="29">
        <f t="shared" ref="AB18:AF18" si="242">SUM(AB16:AB17)</f>
        <v>0</v>
      </c>
      <c r="AC18" s="30">
        <f>(AC16*AM16+AC17*AM17)/AM18</f>
        <v>0</v>
      </c>
      <c r="AD18" s="30">
        <f>SUM(AD16:AD17)</f>
        <v>0</v>
      </c>
      <c r="AE18" s="30">
        <f>(AE16*AM16+AE17*AM17)/AM18</f>
        <v>0</v>
      </c>
      <c r="AF18" s="29">
        <f t="shared" si="242"/>
        <v>236</v>
      </c>
      <c r="AG18" s="26">
        <f>(AG16*AM16+AG17*AM17)/AM18</f>
        <v>84.352150537634429</v>
      </c>
      <c r="AH18" s="30">
        <f>(AH16*AM16+AH17*AM17)/AM18</f>
        <v>68.491935483870975</v>
      </c>
      <c r="AI18" s="30">
        <f>(AI16*AM16+AI17*AM17)/AM18</f>
        <v>31.508064516129032</v>
      </c>
      <c r="AJ18" s="7">
        <f>(AJ16*AM16+AJ17*AM17)/AM18</f>
        <v>52.976658798846053</v>
      </c>
      <c r="AK18" s="30">
        <f>SUM(AK16:AK17)</f>
        <v>1488</v>
      </c>
      <c r="AL18" s="33">
        <f>SUM(AL16:AL17)</f>
        <v>323200</v>
      </c>
      <c r="AM18" s="31">
        <f>SUM(AM16:AM17)</f>
        <v>820</v>
      </c>
      <c r="AN18" s="15"/>
      <c r="AO18" s="16"/>
      <c r="AP18" s="87" t="s">
        <v>39</v>
      </c>
      <c r="AQ18" s="29">
        <f>SUM(AQ16:AQ17)</f>
        <v>1440</v>
      </c>
      <c r="AR18" s="29">
        <f t="shared" ref="AR18:AT18" si="243">SUM(AR16:AR17)</f>
        <v>1440</v>
      </c>
      <c r="AS18" s="29">
        <f>SUM(AS16:AS17)</f>
        <v>0</v>
      </c>
      <c r="AT18" s="29">
        <f t="shared" si="243"/>
        <v>0</v>
      </c>
      <c r="AU18" s="26">
        <f>(AU16*BG16+AU17*BG17)/BG18</f>
        <v>0</v>
      </c>
      <c r="AV18" s="29">
        <f t="shared" ref="AV18:AZ18" si="244">SUM(AV16:AV17)</f>
        <v>0</v>
      </c>
      <c r="AW18" s="26">
        <f>(AW16*BG16+AW17*BG17)/BG18</f>
        <v>0</v>
      </c>
      <c r="AX18" s="30">
        <f>SUM(AX16:AX17)</f>
        <v>0</v>
      </c>
      <c r="AY18" s="30">
        <f>(AY16*BG16+AY17*BG17)/BG18</f>
        <v>0</v>
      </c>
      <c r="AZ18" s="29">
        <f t="shared" si="244"/>
        <v>289.47000000000003</v>
      </c>
      <c r="BA18" s="26">
        <f>(BA16*BG16+BA17*BG17)/BG18</f>
        <v>100</v>
      </c>
      <c r="BB18" s="7">
        <f>(BB16*BG16+BB17*BG17)/BG18</f>
        <v>79.897916666666674</v>
      </c>
      <c r="BC18" s="7">
        <f>(BC16*BG16+BC17*BG17)/BG18</f>
        <v>20.102083333333333</v>
      </c>
      <c r="BD18" s="7">
        <f>(BD16*BG16+BD17*BG17)/BG18</f>
        <v>65.543699186991859</v>
      </c>
      <c r="BE18" s="30">
        <f>SUM(BE16:BE17)</f>
        <v>1440</v>
      </c>
      <c r="BF18" s="89">
        <f>SUM(BF16:BF17)</f>
        <v>386970</v>
      </c>
      <c r="BG18" s="31">
        <f>SUM(BG16:BG17)</f>
        <v>820</v>
      </c>
      <c r="BH18" s="15"/>
      <c r="BI18" s="16"/>
      <c r="BJ18" s="87" t="s">
        <v>39</v>
      </c>
      <c r="BK18" s="29">
        <f>SUM(BK16:BK17)</f>
        <v>1394.33</v>
      </c>
      <c r="BL18" s="29">
        <f t="shared" ref="BL18:BN18" si="245">SUM(BL16:BL17)</f>
        <v>1394.33</v>
      </c>
      <c r="BM18" s="29">
        <f>SUM(BM16:BM17)</f>
        <v>0</v>
      </c>
      <c r="BN18" s="29">
        <f t="shared" si="245"/>
        <v>93.67</v>
      </c>
      <c r="BO18" s="26">
        <f>(BO16*CA16+BO17*CA17)/CA18</f>
        <v>6.2950268817204309</v>
      </c>
      <c r="BP18" s="29">
        <f t="shared" ref="BP18:BT18" si="246">SUM(BP16:BP17)</f>
        <v>0</v>
      </c>
      <c r="BQ18" s="26">
        <f>(BQ16*CA16+BQ17*CA17)/CA18</f>
        <v>0</v>
      </c>
      <c r="BR18" s="30">
        <f>SUM(BR16:BR17)</f>
        <v>0</v>
      </c>
      <c r="BS18" s="30">
        <f>(BS16*CA16+BS17*CA17)/CA18</f>
        <v>0</v>
      </c>
      <c r="BT18" s="29">
        <f t="shared" si="246"/>
        <v>333</v>
      </c>
      <c r="BU18" s="26">
        <f>(BU16*CA16+BU17*CA17)/CA18</f>
        <v>93.704973118279582</v>
      </c>
      <c r="BV18" s="7">
        <f>(BV16*CA16+BV17*CA17)/CA18</f>
        <v>71.32594086021507</v>
      </c>
      <c r="BW18" s="7">
        <f>(BW16*CA16+BW17*CA17)/CA18</f>
        <v>28.674059139784944</v>
      </c>
      <c r="BX18" s="7">
        <f>(BX16*CA16+BX17*CA17)/CA18</f>
        <v>59.88067138735903</v>
      </c>
      <c r="BY18" s="30">
        <f>SUM(BY16:BY17)</f>
        <v>1488</v>
      </c>
      <c r="BZ18" s="89">
        <f>SUM(BZ16:BZ17)</f>
        <v>365320</v>
      </c>
      <c r="CA18" s="31">
        <f>SUM(CA16:CA17)</f>
        <v>820</v>
      </c>
      <c r="CB18" s="15"/>
      <c r="CC18" s="16"/>
      <c r="CD18" s="87" t="s">
        <v>39</v>
      </c>
      <c r="CE18" s="29">
        <f>SUM(CE16:CE17)</f>
        <v>1440</v>
      </c>
      <c r="CF18" s="29">
        <f t="shared" ref="CF18:CH18" si="247">SUM(CF16:CF17)</f>
        <v>1440</v>
      </c>
      <c r="CG18" s="29">
        <f>SUM(CG16:CG17)</f>
        <v>0</v>
      </c>
      <c r="CH18" s="29">
        <f t="shared" si="247"/>
        <v>0</v>
      </c>
      <c r="CI18" s="26">
        <f>(CI16*CU16+CI17*CU17)/CU18</f>
        <v>0</v>
      </c>
      <c r="CJ18" s="29">
        <f t="shared" ref="CJ18:CN18" si="248">SUM(CJ16:CJ17)</f>
        <v>0</v>
      </c>
      <c r="CK18" s="26">
        <f>(CK16*CU16+CK17*CU17)/CU18</f>
        <v>0</v>
      </c>
      <c r="CL18" s="30">
        <f>SUM(CL16:CL17)</f>
        <v>0</v>
      </c>
      <c r="CM18" s="26">
        <f>(CM16*CU16+CM17*CU17)/CU18</f>
        <v>0</v>
      </c>
      <c r="CN18" s="29">
        <f t="shared" si="248"/>
        <v>377</v>
      </c>
      <c r="CO18" s="26">
        <f>(CO16*CU16+CO17*CU17)/CU18</f>
        <v>100</v>
      </c>
      <c r="CP18" s="7">
        <f>(CP16*CU16+CP17*CU17)/CU18</f>
        <v>73.819444444444443</v>
      </c>
      <c r="CQ18" s="7">
        <f>(CQ16*CU16+CQ17*CU17)/CU18</f>
        <v>26.180555555555554</v>
      </c>
      <c r="CR18" s="7">
        <f>(CR16*CU16+CR17*CU17)/CU18</f>
        <v>59.356368563685642</v>
      </c>
      <c r="CS18" s="30">
        <f>SUM(CS16:CS17)</f>
        <v>1440</v>
      </c>
      <c r="CT18" s="89">
        <f>SUM(CT16:CT17)</f>
        <v>350440</v>
      </c>
      <c r="CU18" s="31">
        <f>SUM(CU16:CU17)</f>
        <v>820</v>
      </c>
      <c r="CV18" s="15"/>
      <c r="CW18" s="16"/>
      <c r="CX18" s="87" t="s">
        <v>39</v>
      </c>
      <c r="CY18" s="29">
        <f>SUM(CY16:CY17)</f>
        <v>1343.4099999999999</v>
      </c>
      <c r="CZ18" s="29">
        <f t="shared" ref="CZ18:DB18" si="249">SUM(CZ16:CZ17)</f>
        <v>1343.4099999999999</v>
      </c>
      <c r="DA18" s="29">
        <f>SUM(DA16:DA17)</f>
        <v>0</v>
      </c>
      <c r="DB18" s="29">
        <f t="shared" si="249"/>
        <v>144.59</v>
      </c>
      <c r="DC18" s="26">
        <f>(DC16*DO16+DC17*DO17)/DO18</f>
        <v>9.7170698924731198</v>
      </c>
      <c r="DD18" s="29">
        <f t="shared" ref="DD18:DH18" si="250">SUM(DD16:DD17)</f>
        <v>0</v>
      </c>
      <c r="DE18" s="26">
        <f>(DE16*DO16+DE17*DO17)/DO18</f>
        <v>0</v>
      </c>
      <c r="DF18" s="30">
        <f>SUM(DF16:DF17)</f>
        <v>0</v>
      </c>
      <c r="DG18" s="30">
        <f>(DG16*DO16+DG17*DO17)/DO18</f>
        <v>0</v>
      </c>
      <c r="DH18" s="29">
        <f t="shared" si="250"/>
        <v>393.26</v>
      </c>
      <c r="DI18" s="26">
        <f>(DI16*DO16+DI17*DO17)/DO18</f>
        <v>90.28293010752688</v>
      </c>
      <c r="DJ18" s="7">
        <f>(DJ16*DO16+DJ17*DO17)/DO18</f>
        <v>63.854166666666664</v>
      </c>
      <c r="DK18" s="7">
        <f>(DK16*DO16+DK17*DO17)/DO18</f>
        <v>36.145833333333336</v>
      </c>
      <c r="DL18" s="7">
        <f>(DL16*DO16+DL17*DO17)/DO18</f>
        <v>50.798255966430631</v>
      </c>
      <c r="DM18" s="30">
        <f>SUM(DM16:DM17)</f>
        <v>1488</v>
      </c>
      <c r="DN18" s="89">
        <f>SUM(DN16:DN17)</f>
        <v>309910</v>
      </c>
      <c r="DO18" s="31">
        <f>SUM(DO16:DO17)</f>
        <v>820</v>
      </c>
      <c r="DP18" s="15"/>
      <c r="DQ18" s="16"/>
      <c r="DR18" s="87" t="s">
        <v>39</v>
      </c>
      <c r="DS18" s="29">
        <f t="shared" ref="DS18:DT18" si="251">SUM(DS16:DS17)</f>
        <v>1416.45</v>
      </c>
      <c r="DT18" s="29">
        <f t="shared" si="251"/>
        <v>1416.45</v>
      </c>
      <c r="DU18" s="29">
        <f>SUM(DU16:DU17)</f>
        <v>0</v>
      </c>
      <c r="DV18" s="29">
        <f t="shared" ref="DV18" si="252">SUM(DV16:DV17)</f>
        <v>71.55</v>
      </c>
      <c r="DW18" s="30">
        <f>(DW16*EI16+DW17*EI17)/EI18</f>
        <v>4.808467741935484</v>
      </c>
      <c r="DX18" s="29">
        <f t="shared" ref="DX18:EB18" si="253">SUM(DX16:DX17)</f>
        <v>0</v>
      </c>
      <c r="DY18" s="30">
        <f>(DY16*EI16+DY17*EI17)/EI18</f>
        <v>0</v>
      </c>
      <c r="DZ18" s="30">
        <f>SUM(DZ16:DZ17)</f>
        <v>0</v>
      </c>
      <c r="EA18" s="30">
        <f>(EA16*EI16+EA17*EI17)/EI18</f>
        <v>0</v>
      </c>
      <c r="EB18" s="29">
        <f t="shared" si="253"/>
        <v>1028.79</v>
      </c>
      <c r="EC18" s="26">
        <f>(EC16*EI16+EC17*EI17)/EI18</f>
        <v>95.191532258064527</v>
      </c>
      <c r="ED18" s="30">
        <f>(ED16*EI16+ED17*EI17)/EI18</f>
        <v>26.052419354838712</v>
      </c>
      <c r="EE18" s="193">
        <f>(EE16*EI16+EE17*EI17)/EI18</f>
        <v>73.947580645161295</v>
      </c>
      <c r="EF18" s="7">
        <f>(EF16*EI16+EF17*EI17)/EI18</f>
        <v>54.697744558090747</v>
      </c>
      <c r="EG18" s="30">
        <f>SUM(EG16:EG17)</f>
        <v>1488</v>
      </c>
      <c r="EH18" s="89">
        <f>SUM(EH16:EH17)</f>
        <v>333700</v>
      </c>
      <c r="EI18" s="31">
        <f>SUM(EI16:EI17)</f>
        <v>820</v>
      </c>
      <c r="EJ18" s="15"/>
      <c r="EK18" s="16"/>
      <c r="EL18" s="105" t="s">
        <v>39</v>
      </c>
      <c r="EM18" s="29">
        <f t="shared" ref="EM18:EN18" si="254">SUM(EM16:EM17)</f>
        <v>1311.56</v>
      </c>
      <c r="EN18" s="29">
        <f t="shared" si="254"/>
        <v>1311.56</v>
      </c>
      <c r="EO18" s="29">
        <f>SUM(EO16:EO17)</f>
        <v>0</v>
      </c>
      <c r="EP18" s="29">
        <f t="shared" ref="EP18" si="255">SUM(EP16:EP17)</f>
        <v>7.17</v>
      </c>
      <c r="EQ18" s="30">
        <f>(EQ16*FC16+EQ17*FC17)/FC18</f>
        <v>0.53348214285714279</v>
      </c>
      <c r="ER18" s="29">
        <f t="shared" ref="ER18" si="256">SUM(ER16:ER17)</f>
        <v>25.27</v>
      </c>
      <c r="ES18" s="30">
        <f>(ES16*FC16+ES17*FC17)/FC18</f>
        <v>1.8802083333333335</v>
      </c>
      <c r="ET18" s="30">
        <f>SUM(ET16:ET17)</f>
        <v>0</v>
      </c>
      <c r="EU18" s="30">
        <f>(EU16*FC16+EU17*FC17)/FC18</f>
        <v>0</v>
      </c>
      <c r="EV18" s="29">
        <f t="shared" ref="EV18" si="257">SUM(EV16:EV17)</f>
        <v>359.71000000000004</v>
      </c>
      <c r="EW18" s="26">
        <f>(EW16*FC16+EW17*FC17)/FC18</f>
        <v>88.142473118279568</v>
      </c>
      <c r="EX18" s="30">
        <f>(EX16*FC16+EX17*FC17)/FC18</f>
        <v>70.82217261904762</v>
      </c>
      <c r="EY18" s="193">
        <f>(EY16*FC16+EY17*FC17)/FC18</f>
        <v>28.154851941047013</v>
      </c>
      <c r="EZ18" s="7">
        <f>(EZ16*FC16+EZ17*FC17)/FC18</f>
        <v>54.431620209059226</v>
      </c>
      <c r="FA18" s="30">
        <f>SUM(FA16:FA17)</f>
        <v>1344</v>
      </c>
      <c r="FB18" s="89">
        <f>SUM(FB16:FB17)</f>
        <v>299940</v>
      </c>
      <c r="FC18" s="31">
        <f>SUM(FC16:FC17)</f>
        <v>820</v>
      </c>
      <c r="FD18" s="15"/>
      <c r="FE18" s="16"/>
      <c r="FF18" s="87" t="s">
        <v>39</v>
      </c>
      <c r="FG18" s="29">
        <f>SUM(FG16:FG17)</f>
        <v>744</v>
      </c>
      <c r="FH18" s="29">
        <f t="shared" ref="FH18:FJ18" si="258">SUM(FH16:FH17)</f>
        <v>744</v>
      </c>
      <c r="FI18" s="29">
        <f>SUM(FI16:FI17)</f>
        <v>0</v>
      </c>
      <c r="FJ18" s="29">
        <f t="shared" si="258"/>
        <v>0</v>
      </c>
      <c r="FK18" s="26">
        <f>(FK16*FW16+FK17*FW17)/FW18</f>
        <v>0</v>
      </c>
      <c r="FL18" s="29">
        <f t="shared" ref="FL18:FP18" si="259">SUM(FL16:FL17)</f>
        <v>744</v>
      </c>
      <c r="FM18" s="26">
        <f>(FM16*FW16+FM17*FW17)/FW18</f>
        <v>50</v>
      </c>
      <c r="FN18" s="30">
        <f>SUM(FN16:FN17)</f>
        <v>0</v>
      </c>
      <c r="FO18" s="30">
        <f>(FO16*FW16+FO17*FW17)/FW18</f>
        <v>0</v>
      </c>
      <c r="FP18" s="29">
        <f t="shared" si="259"/>
        <v>98.46</v>
      </c>
      <c r="FQ18" s="26">
        <f>(FQ16*FW16+FQ17*FW17)/FW18</f>
        <v>50</v>
      </c>
      <c r="FR18" s="7">
        <f>(FR16*FW16+FR17*FW17)/FW18</f>
        <v>43.383064516129025</v>
      </c>
      <c r="FS18" s="7">
        <f>(FS16*FW16+FS17*FW17)/FW18</f>
        <v>6.6169354838709671</v>
      </c>
      <c r="FT18" s="7">
        <f>(FT16*FW16+FT17*FW17)/FW18</f>
        <v>33.102216102806189</v>
      </c>
      <c r="FU18" s="30">
        <f>SUM(FU16:FU17)</f>
        <v>1488</v>
      </c>
      <c r="FV18" s="89">
        <f>SUM(FV16:FV17)</f>
        <v>201950</v>
      </c>
      <c r="FW18" s="31">
        <f>SUM(FW16:FW17)</f>
        <v>820</v>
      </c>
      <c r="FX18" s="15"/>
      <c r="FY18" s="16"/>
      <c r="FZ18" s="87" t="s">
        <v>39</v>
      </c>
      <c r="GA18" s="29">
        <f>SUM(GA16:GA17)</f>
        <v>691.77</v>
      </c>
      <c r="GB18" s="29">
        <f t="shared" ref="GB18:GD18" si="260">SUM(GB16:GB17)</f>
        <v>691.77</v>
      </c>
      <c r="GC18" s="29">
        <f>SUM(GC16:GC17)</f>
        <v>0</v>
      </c>
      <c r="GD18" s="29">
        <f t="shared" si="260"/>
        <v>28.23</v>
      </c>
      <c r="GE18" s="78">
        <f>(GE16*GQ16+GE17*GQ17)/GQ18</f>
        <v>1.9604166666666666E-2</v>
      </c>
      <c r="GF18" s="29">
        <f t="shared" ref="GF18:GJ18" si="261">SUM(GF16:GF17)</f>
        <v>720</v>
      </c>
      <c r="GG18" s="26">
        <f>(GG16*GQ16+GG17*GQ17)/GQ18</f>
        <v>50</v>
      </c>
      <c r="GH18" s="30">
        <f>SUM(GH16:GH17)</f>
        <v>0</v>
      </c>
      <c r="GI18" s="26">
        <f>(GI16*GQ16+GI17*GQ17)/GQ18</f>
        <v>0</v>
      </c>
      <c r="GJ18" s="29">
        <f t="shared" si="261"/>
        <v>101.23</v>
      </c>
      <c r="GK18" s="26">
        <f>(GK16*GQ16+GK17*GQ17)/GQ18</f>
        <v>46.489919354838712</v>
      </c>
      <c r="GL18" s="7">
        <f>(GL16*GQ16+GL17*GQ17)/GQ18</f>
        <v>41.00972222222223</v>
      </c>
      <c r="GM18" s="7">
        <f>(GM16*GQ16+GM17*GQ17)/GQ18</f>
        <v>8.9902777777777789</v>
      </c>
      <c r="GN18" s="7">
        <f>(GN16*GQ16+GN17*GQ17)/GQ18</f>
        <v>32.334010840108398</v>
      </c>
      <c r="GO18" s="30">
        <f>SUM(GO16:GO17)</f>
        <v>1440</v>
      </c>
      <c r="GP18" s="89">
        <f>SUM(GP16:GP17)</f>
        <v>190900</v>
      </c>
      <c r="GQ18" s="31">
        <f>SUM(GQ16:GQ17)</f>
        <v>820</v>
      </c>
      <c r="GR18" s="15"/>
      <c r="GS18" s="16"/>
      <c r="GT18" s="87" t="s">
        <v>39</v>
      </c>
      <c r="GU18" s="29">
        <f>SUM(GU16:GU17)</f>
        <v>1394.6</v>
      </c>
      <c r="GV18" s="29">
        <f t="shared" ref="GV18:GX18" si="262">SUM(GV16:GV17)</f>
        <v>1394.6</v>
      </c>
      <c r="GW18" s="29">
        <f>SUM(GW16:GW17)</f>
        <v>0</v>
      </c>
      <c r="GX18" s="29">
        <f t="shared" si="262"/>
        <v>74.77</v>
      </c>
      <c r="GY18" s="26">
        <f>(GY16*HK16+GY17*HK17)/HK18</f>
        <v>5.0248655913978491</v>
      </c>
      <c r="GZ18" s="29">
        <f t="shared" ref="GZ18:HD18" si="263">SUM(GZ16:GZ17)</f>
        <v>18.63</v>
      </c>
      <c r="HA18" s="26">
        <f>(HA16*HK16+HA17*HK17)/HK18</f>
        <v>1.2520161290322578</v>
      </c>
      <c r="HB18" s="30">
        <f>SUM(HB16:HB17)</f>
        <v>0</v>
      </c>
      <c r="HC18" s="26">
        <f>(HC16*HK16+HC17*HK17)/HK18</f>
        <v>0</v>
      </c>
      <c r="HD18" s="29">
        <f t="shared" si="263"/>
        <v>186.75</v>
      </c>
      <c r="HE18" s="26">
        <f>(HE16*HK16+HE17*HK17)/HK18</f>
        <v>93.723118279569903</v>
      </c>
      <c r="HF18" s="7">
        <f>(HF16*HK16+HF17*HK17)/HK18</f>
        <v>81.17271505376344</v>
      </c>
      <c r="HG18" s="7">
        <f>(HG16*HK16+HG17*HK17)/HK18</f>
        <v>17.838731245944782</v>
      </c>
      <c r="HH18" s="7">
        <f>(HH16*HK16+HH17*HK17)/HK18</f>
        <v>61.039535798583792</v>
      </c>
      <c r="HI18" s="30">
        <f>SUM(HI16:HI17)</f>
        <v>1488</v>
      </c>
      <c r="HJ18" s="106">
        <f>SUM(HJ16:HJ17)</f>
        <v>372390</v>
      </c>
      <c r="HK18" s="31">
        <f>SUM(HK16:HK17)</f>
        <v>820</v>
      </c>
      <c r="HL18" s="15"/>
      <c r="HM18" s="16"/>
      <c r="HN18" s="32" t="s">
        <v>39</v>
      </c>
      <c r="HO18" s="90">
        <f>SUM(HO16:HO17)</f>
        <v>1420.27</v>
      </c>
      <c r="HP18" s="90">
        <f t="shared" ref="HP18:HV18" si="264">SUM(HP16:HP17)</f>
        <v>1420.27</v>
      </c>
      <c r="HQ18" s="29">
        <f t="shared" si="264"/>
        <v>0</v>
      </c>
      <c r="HR18" s="90">
        <f t="shared" si="264"/>
        <v>19.73</v>
      </c>
      <c r="HS18" s="26">
        <f>(HS16*IE16+HS17*IE17)/IE18</f>
        <v>1.370138888888889</v>
      </c>
      <c r="HT18" s="90">
        <f t="shared" si="264"/>
        <v>0</v>
      </c>
      <c r="HU18" s="26">
        <f>(HU16*IE16+HU17*IE17)/IE18</f>
        <v>0</v>
      </c>
      <c r="HV18" s="90">
        <f t="shared" si="264"/>
        <v>0</v>
      </c>
      <c r="HW18" s="26">
        <f>(HW16*IE16+HW17*IE17)/IE18</f>
        <v>0</v>
      </c>
      <c r="HX18" s="29">
        <f t="shared" ref="HX18" si="265">SUM(HX16:HX17)</f>
        <v>404.45000000000005</v>
      </c>
      <c r="HY18" s="30">
        <f>(HY16*IE16+HY17*IE17)/IE18</f>
        <v>98.629861111111111</v>
      </c>
      <c r="HZ18" s="193">
        <f>(HZ16*IE16+HZ17*IE17)/IE18</f>
        <v>70.54305555555554</v>
      </c>
      <c r="IA18" s="193">
        <f>(IA16*IE16+IA17*IE17)/IE18</f>
        <v>29.456944444444446</v>
      </c>
      <c r="IB18" s="193">
        <f>(IB16*IE16+IB17*IE17)/IE18</f>
        <v>62.405149051490511</v>
      </c>
      <c r="IC18" s="30">
        <f>SUM(IC16:IC17)</f>
        <v>1440</v>
      </c>
      <c r="ID18" s="45">
        <f>SUM(ID16:ID17)</f>
        <v>368440</v>
      </c>
      <c r="IE18" s="31">
        <f>SUM(IE16:IE17)</f>
        <v>820</v>
      </c>
      <c r="IF18" s="31">
        <f>SUM(IF16:IF17)</f>
        <v>700</v>
      </c>
    </row>
    <row r="19" spans="1:240" ht="15" x14ac:dyDescent="0.25">
      <c r="A19" s="16" t="s">
        <v>44</v>
      </c>
      <c r="B19" s="17">
        <v>1</v>
      </c>
      <c r="C19" s="8">
        <v>593.17999999999995</v>
      </c>
      <c r="D19" s="8">
        <v>593.17999999999995</v>
      </c>
      <c r="E19" s="8">
        <v>0</v>
      </c>
      <c r="F19" s="8">
        <v>150.82</v>
      </c>
      <c r="G19" s="6">
        <f>(F19/$B$4)*100</f>
        <v>20.271505376344084</v>
      </c>
      <c r="H19" s="8">
        <v>0</v>
      </c>
      <c r="I19" s="6">
        <f>(H19/$B$4)*100</f>
        <v>0</v>
      </c>
      <c r="J19" s="6">
        <v>0</v>
      </c>
      <c r="K19" s="6">
        <f>(J19/$B$4)*100</f>
        <v>0</v>
      </c>
      <c r="L19" s="8">
        <v>222.9</v>
      </c>
      <c r="M19" s="6">
        <f>(C19/$B$4)*100</f>
        <v>79.728494623655905</v>
      </c>
      <c r="N19" s="6">
        <f>((C19-L19)/$B$4)*100</f>
        <v>49.768817204301072</v>
      </c>
      <c r="O19" s="18">
        <f t="shared" si="116"/>
        <v>50.231182795698928</v>
      </c>
      <c r="P19" s="6">
        <f>(R19/($B$4*S19))*100</f>
        <v>40.678016726403818</v>
      </c>
      <c r="Q19" s="6">
        <f>SUM(D19:F19,H19,J19)</f>
        <v>744</v>
      </c>
      <c r="R19" s="86">
        <v>136190</v>
      </c>
      <c r="S19" s="8">
        <v>450</v>
      </c>
      <c r="U19" s="16" t="s">
        <v>44</v>
      </c>
      <c r="V19" s="17">
        <v>1</v>
      </c>
      <c r="W19" s="8">
        <f>$V$4-Z19-AB19</f>
        <v>611.54999999999995</v>
      </c>
      <c r="X19" s="8">
        <v>611.54999999999995</v>
      </c>
      <c r="Y19" s="8">
        <v>0</v>
      </c>
      <c r="Z19" s="8">
        <v>132.44999999999999</v>
      </c>
      <c r="AA19" s="6">
        <f t="shared" si="117"/>
        <v>17.802419354838708</v>
      </c>
      <c r="AB19" s="8">
        <v>0</v>
      </c>
      <c r="AC19" s="6">
        <f t="shared" si="118"/>
        <v>0</v>
      </c>
      <c r="AD19" s="6">
        <v>0</v>
      </c>
      <c r="AE19" s="6">
        <f t="shared" si="118"/>
        <v>0</v>
      </c>
      <c r="AF19" s="8">
        <v>244</v>
      </c>
      <c r="AG19" s="6">
        <f>(W19/$V$4)*100</f>
        <v>82.197580645161281</v>
      </c>
      <c r="AH19" s="6">
        <f t="shared" si="119"/>
        <v>49.401881720430104</v>
      </c>
      <c r="AI19" s="18">
        <f t="shared" si="120"/>
        <v>50.598118279569896</v>
      </c>
      <c r="AJ19" s="6">
        <f>(AL19/($V$4*AM19))*100</f>
        <v>33.911290322580648</v>
      </c>
      <c r="AK19" s="6">
        <f>SUM(X19:Z19,AB19,AD19)</f>
        <v>744</v>
      </c>
      <c r="AL19" s="86">
        <v>113535</v>
      </c>
      <c r="AM19" s="8">
        <v>450</v>
      </c>
      <c r="AO19" s="16" t="s">
        <v>44</v>
      </c>
      <c r="AP19" s="17">
        <v>1</v>
      </c>
      <c r="AQ19" s="8">
        <v>425.75</v>
      </c>
      <c r="AR19" s="8">
        <v>425.75</v>
      </c>
      <c r="AS19" s="8">
        <v>0</v>
      </c>
      <c r="AT19" s="8">
        <v>294.25</v>
      </c>
      <c r="AU19" s="6">
        <f t="shared" si="121"/>
        <v>40.868055555555557</v>
      </c>
      <c r="AV19" s="8">
        <v>0</v>
      </c>
      <c r="AW19" s="6">
        <f t="shared" si="122"/>
        <v>0</v>
      </c>
      <c r="AX19" s="6">
        <v>0</v>
      </c>
      <c r="AY19" s="6">
        <f>(AX19/$AP$4)*100</f>
        <v>0</v>
      </c>
      <c r="AZ19" s="8">
        <v>138.26</v>
      </c>
      <c r="BA19" s="6">
        <f>(AQ19/$AP$4)*100</f>
        <v>59.131944444444443</v>
      </c>
      <c r="BB19" s="6">
        <f t="shared" si="123"/>
        <v>39.929166666666667</v>
      </c>
      <c r="BC19" s="18">
        <f t="shared" si="124"/>
        <v>60.070833333333326</v>
      </c>
      <c r="BD19" s="6">
        <f t="shared" si="193"/>
        <v>28.304012345679013</v>
      </c>
      <c r="BE19" s="6">
        <f>SUM(AR19:AT19,AV19,AX19)</f>
        <v>720</v>
      </c>
      <c r="BF19" s="86">
        <v>91705</v>
      </c>
      <c r="BG19" s="8">
        <v>450</v>
      </c>
      <c r="BI19" s="16" t="s">
        <v>44</v>
      </c>
      <c r="BJ19" s="17">
        <v>1</v>
      </c>
      <c r="BK19" s="8">
        <v>512.32000000000005</v>
      </c>
      <c r="BL19" s="8">
        <v>512.32000000000005</v>
      </c>
      <c r="BM19" s="8">
        <v>0</v>
      </c>
      <c r="BN19" s="8">
        <v>231.68</v>
      </c>
      <c r="BO19" s="6">
        <f t="shared" si="126"/>
        <v>31.13978494623656</v>
      </c>
      <c r="BP19" s="8">
        <v>0</v>
      </c>
      <c r="BQ19" s="6">
        <f t="shared" si="127"/>
        <v>0</v>
      </c>
      <c r="BR19" s="6">
        <v>0</v>
      </c>
      <c r="BS19" s="6">
        <f>(BR19/$BJ$4)*100</f>
        <v>0</v>
      </c>
      <c r="BT19" s="8">
        <v>225.6</v>
      </c>
      <c r="BU19" s="6">
        <f t="shared" ref="BU19:BU20" si="266">(BK19/$BJ$4)*100</f>
        <v>68.860215053763454</v>
      </c>
      <c r="BV19" s="6">
        <f t="shared" si="128"/>
        <v>38.537634408602159</v>
      </c>
      <c r="BW19" s="18">
        <f t="shared" si="129"/>
        <v>61.462365591397848</v>
      </c>
      <c r="BX19" s="6">
        <f t="shared" si="30"/>
        <v>33.531959378733575</v>
      </c>
      <c r="BY19" s="6">
        <f>SUM(BL19:BN19,BP19,BR19)</f>
        <v>744</v>
      </c>
      <c r="BZ19" s="86">
        <v>112265</v>
      </c>
      <c r="CA19" s="8">
        <v>450</v>
      </c>
      <c r="CC19" s="16" t="s">
        <v>44</v>
      </c>
      <c r="CD19" s="17">
        <v>1</v>
      </c>
      <c r="CE19" s="8">
        <v>720</v>
      </c>
      <c r="CF19" s="8">
        <v>720</v>
      </c>
      <c r="CG19" s="8">
        <v>0</v>
      </c>
      <c r="CH19" s="8">
        <v>0</v>
      </c>
      <c r="CI19" s="6">
        <f t="shared" ref="CI19:CI20" si="267">(CH19/$CD$4)*100</f>
        <v>0</v>
      </c>
      <c r="CJ19" s="8">
        <v>0</v>
      </c>
      <c r="CK19" s="6">
        <f t="shared" si="131"/>
        <v>0</v>
      </c>
      <c r="CL19" s="6">
        <v>0</v>
      </c>
      <c r="CM19" s="6">
        <f>(CL19/$CD$4)*100</f>
        <v>0</v>
      </c>
      <c r="CN19" s="8">
        <v>0</v>
      </c>
      <c r="CO19" s="6">
        <f>(CE19/$CD$4)*100</f>
        <v>100</v>
      </c>
      <c r="CP19" s="6">
        <f t="shared" si="132"/>
        <v>100</v>
      </c>
      <c r="CQ19" s="18">
        <f>IF((AND(CF19=0,CH19=0)),0,(CH19+CN19)/(CF19+CH19)*100)</f>
        <v>0</v>
      </c>
      <c r="CR19" s="6">
        <f t="shared" si="38"/>
        <v>42.589506172839506</v>
      </c>
      <c r="CS19" s="6">
        <f>SUM(CF19:CH19,CJ19,CL19)</f>
        <v>720</v>
      </c>
      <c r="CT19" s="86">
        <v>137990</v>
      </c>
      <c r="CU19" s="8">
        <v>450</v>
      </c>
      <c r="CW19" s="16" t="s">
        <v>44</v>
      </c>
      <c r="CX19" s="17">
        <v>1</v>
      </c>
      <c r="CY19" s="8">
        <v>0</v>
      </c>
      <c r="CZ19" s="8">
        <v>0</v>
      </c>
      <c r="DA19" s="8">
        <v>0</v>
      </c>
      <c r="DB19" s="8">
        <v>0</v>
      </c>
      <c r="DC19" s="6">
        <f t="shared" si="133"/>
        <v>0</v>
      </c>
      <c r="DD19" s="8">
        <v>744</v>
      </c>
      <c r="DE19" s="6">
        <f t="shared" si="134"/>
        <v>100</v>
      </c>
      <c r="DF19" s="6">
        <v>0</v>
      </c>
      <c r="DG19" s="6">
        <f>(DF19/$CX$4)*100</f>
        <v>0</v>
      </c>
      <c r="DH19" s="8">
        <v>0</v>
      </c>
      <c r="DI19" s="6">
        <f>(CY19/$V$4)*100</f>
        <v>0</v>
      </c>
      <c r="DJ19" s="6">
        <f t="shared" si="135"/>
        <v>0</v>
      </c>
      <c r="DK19" s="18">
        <f t="shared" si="136"/>
        <v>0</v>
      </c>
      <c r="DL19" s="6">
        <f>(DN19/($CX$4*DO19))*100</f>
        <v>0</v>
      </c>
      <c r="DM19" s="6">
        <f>SUM(CZ19:DB19,DD19,DF19)</f>
        <v>744</v>
      </c>
      <c r="DN19" s="8">
        <v>0</v>
      </c>
      <c r="DO19" s="8">
        <v>450</v>
      </c>
      <c r="DQ19" s="16" t="s">
        <v>44</v>
      </c>
      <c r="DR19" s="17">
        <v>1</v>
      </c>
      <c r="DS19" s="8">
        <v>293.60000000000002</v>
      </c>
      <c r="DT19" s="8">
        <v>293.60000000000002</v>
      </c>
      <c r="DU19" s="8">
        <v>0</v>
      </c>
      <c r="DV19" s="8">
        <v>360.43</v>
      </c>
      <c r="DW19" s="6">
        <f t="shared" ref="DW19:DW20" si="268">(DV19/$DR$4)*100</f>
        <v>48.44489247311828</v>
      </c>
      <c r="DX19" s="8">
        <v>89.97</v>
      </c>
      <c r="DY19" s="6">
        <f t="shared" ref="DY19:DY20" si="269">(DX19/$DR$4)*100</f>
        <v>12.09274193548387</v>
      </c>
      <c r="DZ19" s="6">
        <v>0</v>
      </c>
      <c r="EA19" s="6">
        <f>(DZ19/$DR$4)*100</f>
        <v>0</v>
      </c>
      <c r="EB19" s="8">
        <v>136.15</v>
      </c>
      <c r="EC19" s="6">
        <f>(DS19/$V$4)*100</f>
        <v>39.462365591397855</v>
      </c>
      <c r="ED19" s="6">
        <f t="shared" ref="ED19:ED20" si="270">((DS19-EB19)/$DR$4)*100</f>
        <v>21.162634408602152</v>
      </c>
      <c r="EE19" s="18">
        <f>IF((AND(DT19=0,DV19=0)),0,(DV19+EB19)/(DT19+DV19)*100)</f>
        <v>75.92618075623443</v>
      </c>
      <c r="EF19" s="6">
        <f>(EH19/($DR$4*EI19))*100</f>
        <v>20.098566308243729</v>
      </c>
      <c r="EG19" s="6">
        <f>SUM(DT19:DV19,DX19,DZ19)</f>
        <v>744</v>
      </c>
      <c r="EH19" s="86">
        <v>67290</v>
      </c>
      <c r="EI19" s="8">
        <v>450</v>
      </c>
      <c r="EK19" s="16" t="s">
        <v>44</v>
      </c>
      <c r="EL19" s="17">
        <v>1</v>
      </c>
      <c r="EM19" s="8">
        <v>325.02999999999997</v>
      </c>
      <c r="EN19" s="8">
        <v>325.02999999999997</v>
      </c>
      <c r="EO19" s="8">
        <v>0</v>
      </c>
      <c r="EP19" s="8">
        <v>346.97</v>
      </c>
      <c r="EQ19" s="6">
        <f t="shared" si="140"/>
        <v>51.632440476190474</v>
      </c>
      <c r="ER19" s="8">
        <v>0</v>
      </c>
      <c r="ES19" s="6">
        <f t="shared" si="141"/>
        <v>0</v>
      </c>
      <c r="ET19" s="6">
        <v>0</v>
      </c>
      <c r="EU19" s="6">
        <f>(ET19/$EL$4)*100</f>
        <v>0</v>
      </c>
      <c r="EV19" s="8">
        <v>122.77</v>
      </c>
      <c r="EW19" s="6">
        <f>(EM19/$V$4)*100</f>
        <v>43.686827956989241</v>
      </c>
      <c r="EX19" s="6">
        <f t="shared" si="142"/>
        <v>30.098214285714285</v>
      </c>
      <c r="EY19" s="18">
        <f>IF((AND(EN19=0,EP19=0)),0,(EP19+EV19)/(EN19+EP19)*100)</f>
        <v>69.901785714285708</v>
      </c>
      <c r="EZ19" s="6">
        <f t="shared" ref="EZ19:EZ20" si="271">(FB19/($EL$4*FC19))*100</f>
        <v>25.739087301587301</v>
      </c>
      <c r="FA19" s="6">
        <f>SUM(EN19:EP19,ER19,ET19)</f>
        <v>672</v>
      </c>
      <c r="FB19" s="86">
        <v>77835</v>
      </c>
      <c r="FC19" s="8">
        <v>450</v>
      </c>
      <c r="FE19" s="16" t="s">
        <v>44</v>
      </c>
      <c r="FF19" s="17">
        <v>1</v>
      </c>
      <c r="FG19" s="8">
        <v>0</v>
      </c>
      <c r="FH19" s="8">
        <v>0</v>
      </c>
      <c r="FI19" s="8">
        <v>0</v>
      </c>
      <c r="FJ19" s="8">
        <v>744</v>
      </c>
      <c r="FK19" s="6">
        <f>(FJ19/$FF$4)*100</f>
        <v>100</v>
      </c>
      <c r="FL19" s="8">
        <v>0</v>
      </c>
      <c r="FM19" s="6">
        <f>(FL19/$FF$4)*100</f>
        <v>0</v>
      </c>
      <c r="FN19" s="6">
        <v>0</v>
      </c>
      <c r="FO19" s="6">
        <f t="shared" ref="FO19:FO20" si="272">(FN19/$FF$4)*100</f>
        <v>0</v>
      </c>
      <c r="FP19" s="8">
        <v>0</v>
      </c>
      <c r="FQ19" s="6">
        <f>(FG19/$V$4)*100</f>
        <v>0</v>
      </c>
      <c r="FR19" s="6">
        <f>((FG19-FP19)/$FF$4)*100</f>
        <v>0</v>
      </c>
      <c r="FS19" s="18">
        <f t="shared" si="143"/>
        <v>100</v>
      </c>
      <c r="FT19" s="6">
        <f>(FV19/($FF$4*FW19))*100</f>
        <v>0</v>
      </c>
      <c r="FU19" s="6">
        <f>SUM(FH19:FJ19,FL19,FN19)</f>
        <v>744</v>
      </c>
      <c r="FV19" s="8">
        <v>0</v>
      </c>
      <c r="FW19" s="8">
        <v>450</v>
      </c>
      <c r="FY19" s="16" t="s">
        <v>44</v>
      </c>
      <c r="FZ19" s="17">
        <v>1</v>
      </c>
      <c r="GA19" s="8">
        <v>0</v>
      </c>
      <c r="GB19" s="8">
        <v>0</v>
      </c>
      <c r="GC19" s="8">
        <v>0</v>
      </c>
      <c r="GD19" s="15">
        <v>720</v>
      </c>
      <c r="GE19" s="6">
        <f>(GD19/$FZ$4)</f>
        <v>1</v>
      </c>
      <c r="GF19" s="8">
        <v>0</v>
      </c>
      <c r="GG19" s="6">
        <f t="shared" si="144"/>
        <v>0</v>
      </c>
      <c r="GH19" s="15">
        <v>0</v>
      </c>
      <c r="GI19" s="6">
        <f>(GH19/$FZ$4)*100</f>
        <v>0</v>
      </c>
      <c r="GJ19" s="8">
        <v>0</v>
      </c>
      <c r="GK19" s="6">
        <f>(GA19/$V$4)*100</f>
        <v>0</v>
      </c>
      <c r="GL19" s="6">
        <f t="shared" si="145"/>
        <v>0</v>
      </c>
      <c r="GM19" s="18">
        <f>IF((AND(GB19=0,GD19=0)),0,(GD19+GJ19)/(GB19+GD19)*100)</f>
        <v>100</v>
      </c>
      <c r="GN19" s="6">
        <f>(GP19/($FZ$4*GQ19))*100</f>
        <v>0</v>
      </c>
      <c r="GO19" s="6">
        <f>SUM(GB19:GD19,GF19,GH19)</f>
        <v>720</v>
      </c>
      <c r="GP19" s="8">
        <v>0</v>
      </c>
      <c r="GQ19" s="8">
        <v>450</v>
      </c>
      <c r="GS19" s="16" t="s">
        <v>44</v>
      </c>
      <c r="GT19" s="17">
        <v>1</v>
      </c>
      <c r="GU19" s="8">
        <v>0</v>
      </c>
      <c r="GV19" s="8">
        <v>0</v>
      </c>
      <c r="GW19" s="8">
        <v>0</v>
      </c>
      <c r="GX19" s="8">
        <v>744</v>
      </c>
      <c r="GY19" s="17">
        <f t="shared" ref="GY19:HA20" si="273">(GX19/$GT$4)*100</f>
        <v>100</v>
      </c>
      <c r="GZ19" s="8">
        <v>0</v>
      </c>
      <c r="HA19" s="17">
        <f t="shared" si="273"/>
        <v>0</v>
      </c>
      <c r="HB19" s="17">
        <v>0</v>
      </c>
      <c r="HC19" s="6">
        <f>(HB19/$GT$4)*100</f>
        <v>0</v>
      </c>
      <c r="HD19" s="8">
        <v>0</v>
      </c>
      <c r="HE19" s="6">
        <f>(GU19/$GT$4)*100</f>
        <v>0</v>
      </c>
      <c r="HF19" s="21">
        <f t="shared" si="82"/>
        <v>0</v>
      </c>
      <c r="HG19" s="21">
        <f t="shared" si="83"/>
        <v>100</v>
      </c>
      <c r="HH19" s="6">
        <f t="shared" si="84"/>
        <v>0</v>
      </c>
      <c r="HI19" s="6">
        <f>SUM(GV19:GX19,GZ19,HB19)</f>
        <v>744</v>
      </c>
      <c r="HJ19" s="8">
        <v>0</v>
      </c>
      <c r="HK19" s="8">
        <v>450</v>
      </c>
      <c r="HM19" s="16" t="s">
        <v>44</v>
      </c>
      <c r="HN19" s="17">
        <v>1</v>
      </c>
      <c r="HO19" s="52">
        <v>0</v>
      </c>
      <c r="HP19" s="52">
        <v>0</v>
      </c>
      <c r="HQ19" s="54">
        <v>0</v>
      </c>
      <c r="HR19" s="49">
        <v>720</v>
      </c>
      <c r="HS19" s="6">
        <f>(HR19/$HN$4)*100</f>
        <v>100</v>
      </c>
      <c r="HT19" s="8">
        <v>0</v>
      </c>
      <c r="HU19" s="6">
        <f>(HT19/$HN$4)*100</f>
        <v>0</v>
      </c>
      <c r="HV19" s="8">
        <v>0</v>
      </c>
      <c r="HW19" s="6">
        <f>(HV19/$HN$4)*100</f>
        <v>0</v>
      </c>
      <c r="HX19" s="8">
        <v>0</v>
      </c>
      <c r="HY19" s="6">
        <f>(HO19/$HN$4)*100</f>
        <v>0</v>
      </c>
      <c r="HZ19" s="21">
        <f>((HO19-HX19)/$HN$4)*100</f>
        <v>0</v>
      </c>
      <c r="IA19" s="21">
        <f t="shared" ref="IA19:IA20" si="274">IF((AND(HP19=0,HR19=0)),0,(HR19+HX19)/(HP19+HR19)*100)</f>
        <v>100</v>
      </c>
      <c r="IB19" s="6">
        <f>(ID19/($HN$4*IE19))*100</f>
        <v>0</v>
      </c>
      <c r="IC19" s="6">
        <f>SUM(HP19:HR19,HT19,HV19)</f>
        <v>720</v>
      </c>
      <c r="ID19" s="52">
        <v>0</v>
      </c>
      <c r="IE19" s="8">
        <v>450</v>
      </c>
      <c r="IF19" s="8">
        <v>450</v>
      </c>
    </row>
    <row r="20" spans="1:240" ht="14.25" x14ac:dyDescent="0.25">
      <c r="B20" s="17">
        <v>2</v>
      </c>
      <c r="C20" s="8">
        <v>557.17999999999995</v>
      </c>
      <c r="D20" s="8">
        <v>557.17999999999995</v>
      </c>
      <c r="E20" s="8">
        <v>0</v>
      </c>
      <c r="F20" s="8">
        <v>186.82</v>
      </c>
      <c r="G20" s="6">
        <f t="shared" ref="G20" si="275">(F20/$B$4)*100</f>
        <v>25.11021505376344</v>
      </c>
      <c r="H20" s="8">
        <v>0</v>
      </c>
      <c r="I20" s="6">
        <f t="shared" ref="I20" si="276">(H20/$B$4)*100</f>
        <v>0</v>
      </c>
      <c r="J20" s="6">
        <v>0</v>
      </c>
      <c r="K20" s="6">
        <f t="shared" ref="K20" si="277">(J20/$B$4)*100</f>
        <v>0</v>
      </c>
      <c r="L20" s="8">
        <v>154.69999999999999</v>
      </c>
      <c r="M20" s="6">
        <f t="shared" ref="M20" si="278">(C20/$B$4)*100</f>
        <v>74.889784946236546</v>
      </c>
      <c r="N20" s="6">
        <f t="shared" ref="N20:N36" si="279">((C20-L20)/$B$4)*100</f>
        <v>54.096774193548377</v>
      </c>
      <c r="O20" s="18">
        <f t="shared" si="116"/>
        <v>45.903225806451609</v>
      </c>
      <c r="P20" s="6">
        <f t="shared" ref="P20" si="280">(R20/($B$4*S20))*100</f>
        <v>37.267025089605731</v>
      </c>
      <c r="Q20" s="6">
        <f t="shared" ref="Q20" si="281">SUM(D20:F20,H20,J20)</f>
        <v>744</v>
      </c>
      <c r="R20" s="86">
        <v>124770</v>
      </c>
      <c r="S20" s="8">
        <v>450</v>
      </c>
      <c r="V20" s="17">
        <v>2</v>
      </c>
      <c r="W20" s="8">
        <f>$V$4-Z20-AB20</f>
        <v>259.8</v>
      </c>
      <c r="X20" s="8">
        <v>259.8</v>
      </c>
      <c r="Y20" s="8">
        <v>0</v>
      </c>
      <c r="Z20" s="8">
        <v>439.45</v>
      </c>
      <c r="AA20" s="6">
        <f t="shared" si="117"/>
        <v>59.065860215053767</v>
      </c>
      <c r="AB20" s="8">
        <v>44.75</v>
      </c>
      <c r="AC20" s="6">
        <f t="shared" si="118"/>
        <v>6.014784946236559</v>
      </c>
      <c r="AD20" s="6">
        <v>0</v>
      </c>
      <c r="AE20" s="6">
        <f t="shared" si="118"/>
        <v>0</v>
      </c>
      <c r="AF20" s="8">
        <v>50</v>
      </c>
      <c r="AG20" s="6">
        <f>(W20/$V$4)*100</f>
        <v>34.91935483870968</v>
      </c>
      <c r="AH20" s="6">
        <f t="shared" si="119"/>
        <v>28.198924731182796</v>
      </c>
      <c r="AI20" s="18">
        <f t="shared" si="120"/>
        <v>69.996424740793699</v>
      </c>
      <c r="AJ20" s="6">
        <f t="shared" ref="AJ20" si="282">(AL20/($V$4*AM20))*100</f>
        <v>18.405017921146953</v>
      </c>
      <c r="AK20" s="6">
        <f t="shared" ref="AK20" si="283">SUM(X20:Z20,AB20,AD20)</f>
        <v>744</v>
      </c>
      <c r="AL20" s="86">
        <v>61620</v>
      </c>
      <c r="AM20" s="8">
        <v>450</v>
      </c>
      <c r="AP20" s="17">
        <v>2</v>
      </c>
      <c r="AQ20" s="8">
        <v>0</v>
      </c>
      <c r="AR20" s="8">
        <v>0</v>
      </c>
      <c r="AS20" s="8">
        <v>0</v>
      </c>
      <c r="AT20" s="8">
        <v>720</v>
      </c>
      <c r="AU20" s="6">
        <f t="shared" si="121"/>
        <v>100</v>
      </c>
      <c r="AV20" s="8">
        <v>0</v>
      </c>
      <c r="AW20" s="6">
        <f t="shared" si="122"/>
        <v>0</v>
      </c>
      <c r="AX20" s="6">
        <v>0</v>
      </c>
      <c r="AY20" s="6">
        <f>(AX20/$AP$4)*100</f>
        <v>0</v>
      </c>
      <c r="AZ20" s="8">
        <v>0</v>
      </c>
      <c r="BA20" s="6">
        <f>(AQ20/$AP$4)*100</f>
        <v>0</v>
      </c>
      <c r="BB20" s="6">
        <f t="shared" si="123"/>
        <v>0</v>
      </c>
      <c r="BC20" s="18">
        <f t="shared" si="124"/>
        <v>100</v>
      </c>
      <c r="BD20" s="6">
        <f t="shared" si="193"/>
        <v>0</v>
      </c>
      <c r="BE20" s="6">
        <f t="shared" ref="BE20" si="284">SUM(AR20:AT20,AV20,AX20)</f>
        <v>720</v>
      </c>
      <c r="BF20" s="8">
        <v>0</v>
      </c>
      <c r="BG20" s="8">
        <v>450</v>
      </c>
      <c r="BJ20" s="17">
        <v>2</v>
      </c>
      <c r="BK20" s="8">
        <v>0</v>
      </c>
      <c r="BL20" s="8">
        <v>0</v>
      </c>
      <c r="BM20" s="8">
        <v>0</v>
      </c>
      <c r="BN20" s="8">
        <v>0</v>
      </c>
      <c r="BO20" s="6">
        <f t="shared" si="126"/>
        <v>0</v>
      </c>
      <c r="BP20" s="8">
        <v>744</v>
      </c>
      <c r="BQ20" s="6">
        <f t="shared" si="127"/>
        <v>100</v>
      </c>
      <c r="BR20" s="6">
        <v>0</v>
      </c>
      <c r="BS20" s="6">
        <f>(BR20/$BJ$4)*100</f>
        <v>0</v>
      </c>
      <c r="BT20" s="8">
        <v>0</v>
      </c>
      <c r="BU20" s="6">
        <f t="shared" si="266"/>
        <v>0</v>
      </c>
      <c r="BV20" s="6">
        <f t="shared" si="128"/>
        <v>0</v>
      </c>
      <c r="BW20" s="18">
        <f t="shared" si="129"/>
        <v>0</v>
      </c>
      <c r="BX20" s="6">
        <f t="shared" si="30"/>
        <v>0</v>
      </c>
      <c r="BY20" s="6">
        <f t="shared" ref="BY20" si="285">SUM(BL20:BN20,BP20,BR20)</f>
        <v>744</v>
      </c>
      <c r="BZ20" s="8">
        <v>0</v>
      </c>
      <c r="CA20" s="8">
        <v>450</v>
      </c>
      <c r="CD20" s="17">
        <v>2</v>
      </c>
      <c r="CE20" s="8">
        <v>0</v>
      </c>
      <c r="CF20" s="8">
        <v>0</v>
      </c>
      <c r="CG20" s="8">
        <v>0</v>
      </c>
      <c r="CH20" s="8">
        <v>720</v>
      </c>
      <c r="CI20" s="6">
        <f t="shared" si="267"/>
        <v>100</v>
      </c>
      <c r="CJ20" s="8">
        <v>0</v>
      </c>
      <c r="CK20" s="6">
        <f t="shared" si="131"/>
        <v>0</v>
      </c>
      <c r="CL20" s="6">
        <v>0</v>
      </c>
      <c r="CM20" s="6">
        <f t="shared" ref="CM20" si="286">(CL20/$CD$4)*100</f>
        <v>0</v>
      </c>
      <c r="CN20" s="8">
        <v>0</v>
      </c>
      <c r="CO20" s="6">
        <f>(CE20/$CD$4)*100</f>
        <v>0</v>
      </c>
      <c r="CP20" s="6">
        <f t="shared" si="132"/>
        <v>0</v>
      </c>
      <c r="CQ20" s="18">
        <f t="shared" ref="CQ20" si="287">IF((AND(CF20=0,CH20=0)),0,(CH20+CN20)/(CF20+CH20)*100)</f>
        <v>100</v>
      </c>
      <c r="CR20" s="6">
        <f t="shared" si="38"/>
        <v>0</v>
      </c>
      <c r="CS20" s="6">
        <f t="shared" ref="CS20" si="288">SUM(CF20:CH20,CJ20,CL20)</f>
        <v>720</v>
      </c>
      <c r="CT20" s="8">
        <v>0</v>
      </c>
      <c r="CU20" s="8">
        <v>450</v>
      </c>
      <c r="CX20" s="17">
        <v>2</v>
      </c>
      <c r="CY20" s="8">
        <v>0</v>
      </c>
      <c r="CZ20" s="8">
        <v>0</v>
      </c>
      <c r="DA20" s="8">
        <v>0</v>
      </c>
      <c r="DB20" s="8">
        <v>0</v>
      </c>
      <c r="DC20" s="6">
        <f t="shared" si="133"/>
        <v>0</v>
      </c>
      <c r="DD20" s="8">
        <v>744</v>
      </c>
      <c r="DE20" s="6">
        <f t="shared" si="134"/>
        <v>100</v>
      </c>
      <c r="DF20" s="6">
        <v>0</v>
      </c>
      <c r="DG20" s="6">
        <f t="shared" ref="DG20" si="289">(DF20/$CX$4)*100</f>
        <v>0</v>
      </c>
      <c r="DH20" s="8">
        <v>0</v>
      </c>
      <c r="DI20" s="6">
        <f>(CY20/$V$4)*100</f>
        <v>0</v>
      </c>
      <c r="DJ20" s="6">
        <f t="shared" si="135"/>
        <v>0</v>
      </c>
      <c r="DK20" s="18">
        <f t="shared" si="136"/>
        <v>0</v>
      </c>
      <c r="DL20" s="6">
        <f t="shared" ref="DL20" si="290">(DN20/($CX$4*DO20))*100</f>
        <v>0</v>
      </c>
      <c r="DM20" s="6">
        <f t="shared" ref="DM20" si="291">SUM(CZ20:DB20,DD20,DF20)</f>
        <v>744</v>
      </c>
      <c r="DN20" s="8">
        <v>0</v>
      </c>
      <c r="DO20" s="8">
        <v>450</v>
      </c>
      <c r="DR20" s="17">
        <v>2</v>
      </c>
      <c r="DS20" s="8">
        <v>0</v>
      </c>
      <c r="DT20" s="8">
        <v>0</v>
      </c>
      <c r="DU20" s="8">
        <v>0</v>
      </c>
      <c r="DV20" s="8">
        <v>0</v>
      </c>
      <c r="DW20" s="6">
        <f t="shared" si="268"/>
        <v>0</v>
      </c>
      <c r="DX20" s="8">
        <v>744</v>
      </c>
      <c r="DY20" s="6">
        <f t="shared" si="269"/>
        <v>100</v>
      </c>
      <c r="DZ20" s="6">
        <v>0</v>
      </c>
      <c r="EA20" s="6">
        <f>(DZ20/$DR$4)*100</f>
        <v>0</v>
      </c>
      <c r="EB20" s="8">
        <v>0</v>
      </c>
      <c r="EC20" s="6">
        <f>(DS20/$V$4)*100</f>
        <v>0</v>
      </c>
      <c r="ED20" s="6">
        <f t="shared" si="270"/>
        <v>0</v>
      </c>
      <c r="EE20" s="18">
        <f t="shared" ref="EE20" si="292">IF((AND(DT20=0,DV20=0)),0,(DV20+EB20)/(DT20+DV20)*100)</f>
        <v>0</v>
      </c>
      <c r="EF20" s="6">
        <f t="shared" ref="EF20" si="293">(EH20/($DR$4*EI20))*100</f>
        <v>0</v>
      </c>
      <c r="EG20" s="6">
        <f t="shared" ref="EG20" si="294">SUM(DT20:DV20,DX20,DZ20)</f>
        <v>744</v>
      </c>
      <c r="EH20" s="8">
        <v>0</v>
      </c>
      <c r="EI20" s="8">
        <v>450</v>
      </c>
      <c r="EL20" s="17">
        <v>2</v>
      </c>
      <c r="EM20" s="6">
        <v>3.5</v>
      </c>
      <c r="EN20" s="6">
        <v>3.5</v>
      </c>
      <c r="EO20" s="15">
        <v>0</v>
      </c>
      <c r="EP20" s="8">
        <v>0</v>
      </c>
      <c r="EQ20" s="6">
        <f t="shared" si="140"/>
        <v>0</v>
      </c>
      <c r="ER20" s="8">
        <v>668.5</v>
      </c>
      <c r="ES20" s="6">
        <f t="shared" si="141"/>
        <v>99.479166666666657</v>
      </c>
      <c r="ET20" s="6">
        <v>0</v>
      </c>
      <c r="EU20" s="6">
        <f>(ET20/$EL$4)*100</f>
        <v>0</v>
      </c>
      <c r="EV20" s="8">
        <v>0</v>
      </c>
      <c r="EW20" s="6">
        <f>(EM20/$V$4)*100</f>
        <v>0.47043010752688175</v>
      </c>
      <c r="EX20" s="6">
        <f t="shared" si="142"/>
        <v>0.52083333333333326</v>
      </c>
      <c r="EY20" s="18">
        <f t="shared" ref="EY20" si="295">IF((AND(EN20=0,EP20=0)),0,(EP20+EV20)/(EN20+EP20)*100)</f>
        <v>0</v>
      </c>
      <c r="EZ20" s="6">
        <f t="shared" si="271"/>
        <v>6.1177248677248677E-2</v>
      </c>
      <c r="FA20" s="6">
        <f t="shared" ref="FA20" si="296">SUM(EN20:EP20,ER20,ET20)</f>
        <v>672</v>
      </c>
      <c r="FB20" s="8">
        <v>185</v>
      </c>
      <c r="FC20" s="8">
        <v>450</v>
      </c>
      <c r="FF20" s="17">
        <v>2</v>
      </c>
      <c r="FG20" s="8">
        <v>0</v>
      </c>
      <c r="FH20" s="8">
        <v>0</v>
      </c>
      <c r="FI20" s="8">
        <v>0</v>
      </c>
      <c r="FJ20" s="8">
        <v>744</v>
      </c>
      <c r="FK20" s="6">
        <f t="shared" ref="FK20" si="297">(FJ20/$FF$4)*100</f>
        <v>100</v>
      </c>
      <c r="FL20" s="8">
        <v>0</v>
      </c>
      <c r="FM20" s="6">
        <f t="shared" ref="FM20" si="298">(FL20/$FF$4)*100</f>
        <v>0</v>
      </c>
      <c r="FN20" s="6">
        <v>0</v>
      </c>
      <c r="FO20" s="6">
        <f t="shared" si="272"/>
        <v>0</v>
      </c>
      <c r="FP20" s="8">
        <v>0</v>
      </c>
      <c r="FQ20" s="6">
        <f>(FG20/$V$4)*100</f>
        <v>0</v>
      </c>
      <c r="FR20" s="6">
        <f t="shared" ref="FR20" si="299">((FG20-FP20)/$FF$4)*100</f>
        <v>0</v>
      </c>
      <c r="FS20" s="18">
        <f t="shared" si="143"/>
        <v>100</v>
      </c>
      <c r="FT20" s="6">
        <f t="shared" ref="FT20" si="300">(FV20/($FF$4*FW20))*100</f>
        <v>0</v>
      </c>
      <c r="FU20" s="6">
        <f t="shared" ref="FU20" si="301">SUM(FH20:FJ20,FL20,FN20)</f>
        <v>744</v>
      </c>
      <c r="FV20" s="8">
        <v>0</v>
      </c>
      <c r="FW20" s="8">
        <v>450</v>
      </c>
      <c r="FZ20" s="17">
        <v>2</v>
      </c>
      <c r="GA20" s="8">
        <v>0</v>
      </c>
      <c r="GB20" s="8">
        <v>0</v>
      </c>
      <c r="GC20" s="8">
        <v>0</v>
      </c>
      <c r="GD20" s="15">
        <v>720</v>
      </c>
      <c r="GE20" s="6">
        <f>(GD20/$FZ$4)</f>
        <v>1</v>
      </c>
      <c r="GF20" s="8">
        <v>0</v>
      </c>
      <c r="GG20" s="6">
        <f t="shared" si="144"/>
        <v>0</v>
      </c>
      <c r="GH20" s="15">
        <v>0</v>
      </c>
      <c r="GI20" s="6">
        <f t="shared" ref="GI20" si="302">(GH20/$FZ$4)*100</f>
        <v>0</v>
      </c>
      <c r="GJ20" s="8">
        <v>0</v>
      </c>
      <c r="GK20" s="6">
        <f>(GA20/$V$4)*100</f>
        <v>0</v>
      </c>
      <c r="GL20" s="6">
        <f t="shared" si="145"/>
        <v>0</v>
      </c>
      <c r="GM20" s="18">
        <f t="shared" ref="GM20" si="303">IF((AND(GB20=0,GD20=0)),0,(GD20+GJ20)/(GB20+GD20)*100)</f>
        <v>100</v>
      </c>
      <c r="GN20" s="6">
        <f>(GP20/($FZ$4*GQ20))*100</f>
        <v>0</v>
      </c>
      <c r="GO20" s="6">
        <f t="shared" ref="GO20" si="304">SUM(GB20:GD20,GF20,GH20)</f>
        <v>720</v>
      </c>
      <c r="GP20" s="8">
        <v>0</v>
      </c>
      <c r="GQ20" s="8">
        <v>450</v>
      </c>
      <c r="GT20" s="17">
        <v>2</v>
      </c>
      <c r="GU20" s="8">
        <v>0</v>
      </c>
      <c r="GV20" s="8">
        <v>0</v>
      </c>
      <c r="GW20" s="8">
        <v>0</v>
      </c>
      <c r="GX20" s="8">
        <v>744</v>
      </c>
      <c r="GY20" s="8">
        <f t="shared" si="273"/>
        <v>100</v>
      </c>
      <c r="GZ20" s="8">
        <v>0</v>
      </c>
      <c r="HA20" s="8">
        <f t="shared" si="273"/>
        <v>0</v>
      </c>
      <c r="HB20" s="8">
        <v>0</v>
      </c>
      <c r="HC20" s="6">
        <f t="shared" ref="HC20" si="305">(HB20/$GT$4)*100</f>
        <v>0</v>
      </c>
      <c r="HD20" s="8">
        <v>0</v>
      </c>
      <c r="HE20" s="6">
        <f>(GU20/$GT$4)*100</f>
        <v>0</v>
      </c>
      <c r="HF20" s="8">
        <f t="shared" si="82"/>
        <v>0</v>
      </c>
      <c r="HG20" s="8">
        <f t="shared" si="83"/>
        <v>100</v>
      </c>
      <c r="HH20" s="6">
        <f t="shared" si="84"/>
        <v>0</v>
      </c>
      <c r="HI20" s="6">
        <f t="shared" ref="HI20" si="306">SUM(GV20:GX20,GZ20,HB20)</f>
        <v>744</v>
      </c>
      <c r="HJ20" s="8">
        <v>0</v>
      </c>
      <c r="HK20" s="8">
        <v>450</v>
      </c>
      <c r="HN20" s="17">
        <v>2</v>
      </c>
      <c r="HO20" s="52">
        <v>218.07</v>
      </c>
      <c r="HP20" s="52">
        <v>218.07</v>
      </c>
      <c r="HQ20" s="54">
        <v>0</v>
      </c>
      <c r="HR20" s="49">
        <v>501.93</v>
      </c>
      <c r="HS20" s="6">
        <f t="shared" ref="HS20" si="307">(HR20/$HN$4)*100</f>
        <v>69.712500000000006</v>
      </c>
      <c r="HT20" s="8">
        <v>0</v>
      </c>
      <c r="HU20" s="6">
        <f t="shared" ref="HU20" si="308">(HT20/$HN$4)*100</f>
        <v>0</v>
      </c>
      <c r="HV20" s="8">
        <v>0</v>
      </c>
      <c r="HW20" s="6">
        <f t="shared" ref="HW20" si="309">(HV20/$HN$4)*100</f>
        <v>0</v>
      </c>
      <c r="HX20" s="8">
        <v>57.97</v>
      </c>
      <c r="HY20" s="6">
        <f>(HO20/$HN$4)*100</f>
        <v>30.287500000000001</v>
      </c>
      <c r="HZ20" s="21">
        <f>((HO20-HX20)/$HN$4)*100</f>
        <v>22.236111111111111</v>
      </c>
      <c r="IA20" s="6">
        <f t="shared" si="274"/>
        <v>77.763888888888886</v>
      </c>
      <c r="IB20" s="6">
        <f>(ID20/($HN$4*IE20))*100</f>
        <v>13.402777777777777</v>
      </c>
      <c r="IC20" s="6">
        <f t="shared" ref="IC20" si="310">SUM(HP20:HR20,HT20,HV20)</f>
        <v>720</v>
      </c>
      <c r="ID20" s="55">
        <v>43425</v>
      </c>
      <c r="IE20" s="8">
        <v>450</v>
      </c>
      <c r="IF20" s="15">
        <v>350</v>
      </c>
    </row>
    <row r="21" spans="1:240" ht="15" x14ac:dyDescent="0.25">
      <c r="B21" s="24" t="s">
        <v>39</v>
      </c>
      <c r="C21" s="25">
        <f>SUM(C19:C20)</f>
        <v>1150.3599999999999</v>
      </c>
      <c r="D21" s="25">
        <f t="shared" ref="D21" si="311">SUM(D19:D20)</f>
        <v>1150.3599999999999</v>
      </c>
      <c r="E21" s="25">
        <f>SUM(E19:E20)</f>
        <v>0</v>
      </c>
      <c r="F21" s="25">
        <f t="shared" ref="F21" si="312">SUM(F19:F20)</f>
        <v>337.64</v>
      </c>
      <c r="G21" s="26">
        <f>(G19*S19+G20*S20)/S21</f>
        <v>22.690860215053764</v>
      </c>
      <c r="H21" s="25">
        <f t="shared" ref="H21:L21" si="313">SUM(H19:H20)</f>
        <v>0</v>
      </c>
      <c r="I21" s="26">
        <f>(I19*S19+I20*S20)/S21</f>
        <v>0</v>
      </c>
      <c r="J21" s="26">
        <f>SUM(J19:J20)</f>
        <v>0</v>
      </c>
      <c r="K21" s="26">
        <f>(K19*S19+K20*S20)/S21</f>
        <v>0</v>
      </c>
      <c r="L21" s="25">
        <f t="shared" si="313"/>
        <v>377.6</v>
      </c>
      <c r="M21" s="26">
        <f>(M19*S19+M20*S20)/S21</f>
        <v>77.309139784946225</v>
      </c>
      <c r="N21" s="7">
        <f>(N19*S19+N20*S20)/S21</f>
        <v>51.932795698924721</v>
      </c>
      <c r="O21" s="7">
        <f>(O19*S19+O20*S20)/S21</f>
        <v>48.067204301075272</v>
      </c>
      <c r="P21" s="7">
        <f>(P19*S19+P20*S20)/S21</f>
        <v>38.972520908004775</v>
      </c>
      <c r="Q21" s="30">
        <f>SUM(Q19:Q20)</f>
        <v>1488</v>
      </c>
      <c r="R21" s="102">
        <f>SUM(R19:R20)</f>
        <v>260960</v>
      </c>
      <c r="S21" s="28">
        <f>SUM(S19:S20)</f>
        <v>900</v>
      </c>
      <c r="T21" s="15"/>
      <c r="V21" s="32" t="s">
        <v>39</v>
      </c>
      <c r="W21" s="29">
        <f>SUM(W19:W20)</f>
        <v>871.34999999999991</v>
      </c>
      <c r="X21" s="29">
        <f t="shared" ref="X21" si="314">SUM(X19:X20)</f>
        <v>871.34999999999991</v>
      </c>
      <c r="Y21" s="29">
        <f>SUM(Y19:Y20)</f>
        <v>0</v>
      </c>
      <c r="Z21" s="29">
        <f t="shared" ref="Z21" si="315">SUM(Z19:Z20)</f>
        <v>571.9</v>
      </c>
      <c r="AA21" s="30">
        <f>(AA19*AM19+AA20*AM20)/AM21</f>
        <v>38.43413978494624</v>
      </c>
      <c r="AB21" s="29">
        <f>SUM(AB19:AB20)</f>
        <v>44.75</v>
      </c>
      <c r="AC21" s="30">
        <f>(AC19*AM19+AC20*AM20)/AM21</f>
        <v>3.0073924731182795</v>
      </c>
      <c r="AD21" s="30">
        <f>SUM(AD19:AD20)</f>
        <v>0</v>
      </c>
      <c r="AE21" s="30">
        <f>(AE19*AM19+AE20*AM20)/AM21</f>
        <v>0</v>
      </c>
      <c r="AF21" s="29">
        <f>SUM(AF19:AF20)</f>
        <v>294</v>
      </c>
      <c r="AG21" s="26">
        <f>(AG19*AM19+AG20*AM20)/AM21</f>
        <v>58.55846774193548</v>
      </c>
      <c r="AH21" s="30">
        <f>(AH19*AM19+AH20*AM20)/AM21</f>
        <v>38.800403225806448</v>
      </c>
      <c r="AI21" s="30">
        <f>(AI19*AM19+AI20*AM20)/AM21</f>
        <v>60.297271510181794</v>
      </c>
      <c r="AJ21" s="7">
        <f>(AJ19*AM19+AJ20*AM20)/AM21</f>
        <v>26.158154121863799</v>
      </c>
      <c r="AK21" s="30">
        <f>SUM(AK19:AK20)</f>
        <v>1488</v>
      </c>
      <c r="AL21" s="27">
        <f>SUM(AL19:AL20)</f>
        <v>175155</v>
      </c>
      <c r="AM21" s="31">
        <f>SUM(AM19:AM20)</f>
        <v>900</v>
      </c>
      <c r="AN21" s="15"/>
      <c r="AP21" s="32" t="s">
        <v>39</v>
      </c>
      <c r="AQ21" s="25">
        <f>SUM(AQ19:AQ20)</f>
        <v>425.75</v>
      </c>
      <c r="AR21" s="25">
        <f t="shared" ref="AR21:AT21" si="316">SUM(AR19:AR20)</f>
        <v>425.75</v>
      </c>
      <c r="AS21" s="25">
        <f>SUM(AS19:AS20)</f>
        <v>0</v>
      </c>
      <c r="AT21" s="25">
        <f t="shared" si="316"/>
        <v>1014.25</v>
      </c>
      <c r="AU21" s="26">
        <f>(AU19*BG19+AU20*BG20)/BG21</f>
        <v>70.434027777777771</v>
      </c>
      <c r="AV21" s="25">
        <f t="shared" ref="AV21:AZ21" si="317">SUM(AV19:AV20)</f>
        <v>0</v>
      </c>
      <c r="AW21" s="26">
        <f>(AW19*BG19+AW20*BG20)/BG21</f>
        <v>0</v>
      </c>
      <c r="AX21" s="26">
        <f>SUM(AX19:AX20)</f>
        <v>0</v>
      </c>
      <c r="AY21" s="30">
        <f>(AY19*BG19+AY20*BG20)/BG21</f>
        <v>0</v>
      </c>
      <c r="AZ21" s="25">
        <f t="shared" si="317"/>
        <v>138.26</v>
      </c>
      <c r="BA21" s="26">
        <f>(BA19*BG19+BA20*BG20)/BG21</f>
        <v>29.565972222222221</v>
      </c>
      <c r="BB21" s="7">
        <f>(BB19*BG19+BB20*BG20)/BG21</f>
        <v>19.964583333333334</v>
      </c>
      <c r="BC21" s="7">
        <f>(BC19*BG19+BC20*BG20)/BG21</f>
        <v>80.035416666666663</v>
      </c>
      <c r="BD21" s="7">
        <f>(BD19*BG19+BD20*BG20)/BG21</f>
        <v>14.152006172839508</v>
      </c>
      <c r="BE21" s="30">
        <f>SUM(BE19:BE20)</f>
        <v>1440</v>
      </c>
      <c r="BF21" s="33">
        <f>SUM(BF19:BF20)</f>
        <v>91705</v>
      </c>
      <c r="BG21" s="31">
        <f>SUM(BG19:BG20)</f>
        <v>900</v>
      </c>
      <c r="BH21" s="15"/>
      <c r="BJ21" s="32" t="s">
        <v>39</v>
      </c>
      <c r="BK21" s="25">
        <f>SUM(BK19:BK20)</f>
        <v>512.32000000000005</v>
      </c>
      <c r="BL21" s="25">
        <f t="shared" ref="BL21:BN21" si="318">SUM(BL19:BL20)</f>
        <v>512.32000000000005</v>
      </c>
      <c r="BM21" s="25">
        <f>SUM(BM19:BM20)</f>
        <v>0</v>
      </c>
      <c r="BN21" s="25">
        <f t="shared" si="318"/>
        <v>231.68</v>
      </c>
      <c r="BO21" s="26">
        <f>(BO19*CA19+BO20*CA20)/CA21</f>
        <v>15.56989247311828</v>
      </c>
      <c r="BP21" s="25">
        <f t="shared" ref="BP21:BT21" si="319">SUM(BP19:BP20)</f>
        <v>744</v>
      </c>
      <c r="BQ21" s="26">
        <f>(BQ19*CA19+BQ20*CA20)/CA21</f>
        <v>50</v>
      </c>
      <c r="BR21" s="26">
        <f>SUM(BR19:BR20)</f>
        <v>0</v>
      </c>
      <c r="BS21" s="30">
        <f>(BS19*CA19+BS20*CA20)/CA21</f>
        <v>0</v>
      </c>
      <c r="BT21" s="25">
        <f t="shared" si="319"/>
        <v>225.6</v>
      </c>
      <c r="BU21" s="26">
        <f>(BU19*CA19+BU20*CA20)/CA21</f>
        <v>34.430107526881727</v>
      </c>
      <c r="BV21" s="7">
        <f>(BV19*CA19+BV20*CA20)/CA21</f>
        <v>19.268817204301083</v>
      </c>
      <c r="BW21" s="7">
        <f>(BW19*CA19+BW20*CA20)/CA21</f>
        <v>30.731182795698924</v>
      </c>
      <c r="BX21" s="7">
        <f>(BX19*CA19+BX20*CA20)/CA21</f>
        <v>16.765979689366787</v>
      </c>
      <c r="BY21" s="30">
        <f>SUM(BY19:BY20)</f>
        <v>1488</v>
      </c>
      <c r="BZ21" s="33">
        <f>SUM(BZ19:BZ20)</f>
        <v>112265</v>
      </c>
      <c r="CA21" s="31">
        <f>SUM(CA19:CA20)</f>
        <v>900</v>
      </c>
      <c r="CB21" s="15"/>
      <c r="CD21" s="32" t="s">
        <v>39</v>
      </c>
      <c r="CE21" s="25">
        <f>SUM(CE19:CE20)</f>
        <v>720</v>
      </c>
      <c r="CF21" s="25">
        <f t="shared" ref="CF21:CH21" si="320">SUM(CF19:CF20)</f>
        <v>720</v>
      </c>
      <c r="CG21" s="25">
        <f>SUM(CG19:CG20)</f>
        <v>0</v>
      </c>
      <c r="CH21" s="25">
        <f t="shared" si="320"/>
        <v>720</v>
      </c>
      <c r="CI21" s="26">
        <f>(CI19*CU19+CI20*CU20)/CU21</f>
        <v>50</v>
      </c>
      <c r="CJ21" s="25">
        <f t="shared" ref="CJ21:CN21" si="321">SUM(CJ19:CJ20)</f>
        <v>0</v>
      </c>
      <c r="CK21" s="26">
        <f>(CK19*CU19+CK20*CU20)/CU21</f>
        <v>0</v>
      </c>
      <c r="CL21" s="26">
        <f>SUM(CL19:CL20)</f>
        <v>0</v>
      </c>
      <c r="CM21" s="26">
        <f>(CM19*CU19+CM20*CU20)/CU21</f>
        <v>0</v>
      </c>
      <c r="CN21" s="25">
        <f t="shared" si="321"/>
        <v>0</v>
      </c>
      <c r="CO21" s="26">
        <f>(CO19*CU19+CO20*CU20)/CU21</f>
        <v>50</v>
      </c>
      <c r="CP21" s="7">
        <f>(CP19*CU19+CP20*CU20)/CU21</f>
        <v>50</v>
      </c>
      <c r="CQ21" s="7">
        <f>(CQ19*CU19+CQ20*CU20)/CU21</f>
        <v>50</v>
      </c>
      <c r="CR21" s="7">
        <f>(CR19*CU19+CR20*CU20)/CU21</f>
        <v>21.294753086419753</v>
      </c>
      <c r="CS21" s="30">
        <f>SUM(CS19:CS20)</f>
        <v>1440</v>
      </c>
      <c r="CT21" s="33">
        <f>SUM(CT19:CT20)</f>
        <v>137990</v>
      </c>
      <c r="CU21" s="31">
        <f>SUM(CU19:CU20)</f>
        <v>900</v>
      </c>
      <c r="CV21" s="15"/>
      <c r="CX21" s="32" t="s">
        <v>39</v>
      </c>
      <c r="CY21" s="25">
        <f>SUM(CY19:CY20)</f>
        <v>0</v>
      </c>
      <c r="CZ21" s="25">
        <f t="shared" ref="CZ21:DB21" si="322">SUM(CZ19:CZ20)</f>
        <v>0</v>
      </c>
      <c r="DA21" s="25">
        <f>SUM(DA19:DA20)</f>
        <v>0</v>
      </c>
      <c r="DB21" s="25">
        <f t="shared" si="322"/>
        <v>0</v>
      </c>
      <c r="DC21" s="26">
        <f>(DC19*DO19+DC20*DO20)/DO21</f>
        <v>0</v>
      </c>
      <c r="DD21" s="25">
        <f t="shared" ref="DD21:DH21" si="323">SUM(DD19:DD20)</f>
        <v>1488</v>
      </c>
      <c r="DE21" s="26">
        <f>(DE19*DO19+DE20*DO20)/DO21</f>
        <v>100</v>
      </c>
      <c r="DF21" s="26">
        <f>SUM(DF19:DF20)</f>
        <v>0</v>
      </c>
      <c r="DG21" s="30">
        <f>(DG19*DO19+DG20*DO20)/DO21</f>
        <v>0</v>
      </c>
      <c r="DH21" s="25">
        <f t="shared" si="323"/>
        <v>0</v>
      </c>
      <c r="DI21" s="26">
        <f>(DI19*DO19+DI20*DO20)/DO21</f>
        <v>0</v>
      </c>
      <c r="DJ21" s="7">
        <f>(DJ19*DO19+DJ20*DO20)/DO21</f>
        <v>0</v>
      </c>
      <c r="DK21" s="7">
        <f>(DK19*DO19+DK20*DO20)/DO21</f>
        <v>0</v>
      </c>
      <c r="DL21" s="7">
        <f>(DL19*DO19+DL20*DO20)/DO21</f>
        <v>0</v>
      </c>
      <c r="DM21" s="30">
        <f>SUM(DM19:DM20)</f>
        <v>1488</v>
      </c>
      <c r="DN21" s="29">
        <f>SUM(DN19:DN20)</f>
        <v>0</v>
      </c>
      <c r="DO21" s="31">
        <f>SUM(DO19:DO20)</f>
        <v>900</v>
      </c>
      <c r="DP21" s="15"/>
      <c r="DR21" s="32" t="s">
        <v>39</v>
      </c>
      <c r="DS21" s="25">
        <f>SUM(DS19:DS20)</f>
        <v>293.60000000000002</v>
      </c>
      <c r="DT21" s="25">
        <f t="shared" ref="DT21:DV21" si="324">SUM(DT19:DT20)</f>
        <v>293.60000000000002</v>
      </c>
      <c r="DU21" s="25">
        <f>SUM(DU19:DU20)</f>
        <v>0</v>
      </c>
      <c r="DV21" s="25">
        <f t="shared" si="324"/>
        <v>360.43</v>
      </c>
      <c r="DW21" s="26">
        <f>(DW19*EI19+DW20*EI20)/EI21</f>
        <v>24.22244623655914</v>
      </c>
      <c r="DX21" s="25">
        <f t="shared" ref="DX21:EB21" si="325">SUM(DX19:DX20)</f>
        <v>833.97</v>
      </c>
      <c r="DY21" s="26">
        <f>(DY19*EI19+DY20*EI20)/EI21</f>
        <v>56.046370967741936</v>
      </c>
      <c r="DZ21" s="26">
        <f>SUM(DZ19:DZ20)</f>
        <v>0</v>
      </c>
      <c r="EA21" s="30">
        <f>(EA19*EI19+EA20*EI20)/EI21</f>
        <v>0</v>
      </c>
      <c r="EB21" s="25">
        <f t="shared" si="325"/>
        <v>136.15</v>
      </c>
      <c r="EC21" s="26">
        <f>(EC19*EI19+EC20*EI20)/EI21</f>
        <v>19.731182795698928</v>
      </c>
      <c r="ED21" s="7">
        <f>(ED19*EI19+ED20*EI20)/EI21</f>
        <v>10.581317204301076</v>
      </c>
      <c r="EE21" s="7">
        <f>(EE19*EI19+EE20*EI20)/EI21</f>
        <v>37.963090378117222</v>
      </c>
      <c r="EF21" s="7">
        <f>(EF19*EI19+EF20*EI20)/EI21</f>
        <v>10.049283154121865</v>
      </c>
      <c r="EG21" s="30">
        <f>SUM(EG19:EG20)</f>
        <v>1488</v>
      </c>
      <c r="EH21" s="33">
        <f>SUM(EH19:EH20)</f>
        <v>67290</v>
      </c>
      <c r="EI21" s="31">
        <f>SUM(EI19:EI20)</f>
        <v>900</v>
      </c>
      <c r="EJ21" s="15"/>
      <c r="EL21" s="24" t="s">
        <v>39</v>
      </c>
      <c r="EM21" s="25">
        <f>SUM(EM19:EM20)</f>
        <v>328.53</v>
      </c>
      <c r="EN21" s="25">
        <f t="shared" ref="EN21:EP21" si="326">SUM(EN19:EN20)</f>
        <v>328.53</v>
      </c>
      <c r="EO21" s="26">
        <f>SUM(EO19:EO20)</f>
        <v>0</v>
      </c>
      <c r="EP21" s="25">
        <f t="shared" si="326"/>
        <v>346.97</v>
      </c>
      <c r="EQ21" s="26">
        <f>(EQ19*FC19+EQ20*FC20)/FC21</f>
        <v>25.816220238095237</v>
      </c>
      <c r="ER21" s="25">
        <f t="shared" ref="ER21:EV21" si="327">SUM(ER19:ER20)</f>
        <v>668.5</v>
      </c>
      <c r="ES21" s="26">
        <f>(ES19*FC19+ES20*FC20)/FC21</f>
        <v>49.739583333333329</v>
      </c>
      <c r="ET21" s="26">
        <f>SUM(ET19:ET20)</f>
        <v>0</v>
      </c>
      <c r="EU21" s="30">
        <f>(EU19*FC19+EU20*FC20)/FC21</f>
        <v>0</v>
      </c>
      <c r="EV21" s="25">
        <f t="shared" si="327"/>
        <v>122.77</v>
      </c>
      <c r="EW21" s="26">
        <f>(EW19*FC19+EW20*FC20)/FC21</f>
        <v>22.078629032258064</v>
      </c>
      <c r="EX21" s="7">
        <f>(EX19*FC19+EX20*FC20)/FC21</f>
        <v>15.309523809523808</v>
      </c>
      <c r="EY21" s="7">
        <f>(EY19*FC19+EY20*FC20)/FC21</f>
        <v>34.950892857142854</v>
      </c>
      <c r="EZ21" s="7">
        <f>(EZ19*FC19+EZ20*FC20)/FC21</f>
        <v>12.900132275132274</v>
      </c>
      <c r="FA21" s="30">
        <f>SUM(FA19:FA20)</f>
        <v>1344</v>
      </c>
      <c r="FB21" s="33">
        <f>SUM(FB19:FB20)</f>
        <v>78020</v>
      </c>
      <c r="FC21" s="31">
        <f>SUM(FC19:FC20)</f>
        <v>900</v>
      </c>
      <c r="FD21" s="15"/>
      <c r="FF21" s="24" t="s">
        <v>39</v>
      </c>
      <c r="FG21" s="25">
        <f>SUM(FG19:FG20)</f>
        <v>0</v>
      </c>
      <c r="FH21" s="25">
        <f t="shared" ref="FH21:FJ21" si="328">SUM(FH19:FH20)</f>
        <v>0</v>
      </c>
      <c r="FI21" s="25">
        <f>SUM(FI19:FI20)</f>
        <v>0</v>
      </c>
      <c r="FJ21" s="25">
        <f t="shared" si="328"/>
        <v>1488</v>
      </c>
      <c r="FK21" s="26">
        <f>(FK19*FW19+FK20*FW20)/FW21</f>
        <v>100</v>
      </c>
      <c r="FL21" s="25">
        <f t="shared" ref="FL21:FP21" si="329">SUM(FL19:FL20)</f>
        <v>0</v>
      </c>
      <c r="FM21" s="26">
        <f>(FM19*FW19+FM20*FW20)/FW21</f>
        <v>0</v>
      </c>
      <c r="FN21" s="26">
        <f>SUM(FN19:FN20)</f>
        <v>0</v>
      </c>
      <c r="FO21" s="30">
        <f>(FO19*FW19+FO20*FW20)/FW21</f>
        <v>0</v>
      </c>
      <c r="FP21" s="25">
        <f t="shared" si="329"/>
        <v>0</v>
      </c>
      <c r="FQ21" s="26">
        <f>(FQ19*FW19+FQ20*FW20)/FW21</f>
        <v>0</v>
      </c>
      <c r="FR21" s="7">
        <f>(FR19*FW19+FR20*FW20)/FW21</f>
        <v>0</v>
      </c>
      <c r="FS21" s="7">
        <f>(FS19*FW19+FS20*FW20)/FW21</f>
        <v>100</v>
      </c>
      <c r="FT21" s="7">
        <f>(FT19*FW19+FT20*FW20)/FW21</f>
        <v>0</v>
      </c>
      <c r="FU21" s="30">
        <f>SUM(FU19:FU20)</f>
        <v>1488</v>
      </c>
      <c r="FV21" s="29">
        <f>SUM(FV19:FV20)</f>
        <v>0</v>
      </c>
      <c r="FW21" s="31">
        <f>SUM(FW19:FW20)</f>
        <v>900</v>
      </c>
      <c r="FX21" s="15"/>
      <c r="FZ21" s="32" t="s">
        <v>39</v>
      </c>
      <c r="GA21" s="25">
        <f>SUM(GA19:GA20)</f>
        <v>0</v>
      </c>
      <c r="GB21" s="25">
        <f t="shared" ref="GB21:GD21" si="330">SUM(GB19:GB20)</f>
        <v>0</v>
      </c>
      <c r="GC21" s="25">
        <f>SUM(GC19:GC20)</f>
        <v>0</v>
      </c>
      <c r="GD21" s="25">
        <f t="shared" si="330"/>
        <v>1440</v>
      </c>
      <c r="GE21" s="78">
        <f>(GE19*GQ19+GE20*GQ20)/GQ21</f>
        <v>1</v>
      </c>
      <c r="GF21" s="25">
        <f t="shared" ref="GF21:GJ21" si="331">SUM(GF19:GF20)</f>
        <v>0</v>
      </c>
      <c r="GG21" s="26">
        <f>(GG19*GQ19+GG20*GQ20)/GQ21</f>
        <v>0</v>
      </c>
      <c r="GH21" s="28">
        <f>SUM(GH19:GH20)</f>
        <v>0</v>
      </c>
      <c r="GI21" s="26">
        <f>(GI19*GQ19+GI20*GQ20)/GQ21</f>
        <v>0</v>
      </c>
      <c r="GJ21" s="25">
        <f t="shared" si="331"/>
        <v>0</v>
      </c>
      <c r="GK21" s="26">
        <f>(GK19*GQ19+GK20*GQ20)/GQ21</f>
        <v>0</v>
      </c>
      <c r="GL21" s="7">
        <f>(GL19*GQ19+GL20*GQ20)/GQ21</f>
        <v>0</v>
      </c>
      <c r="GM21" s="7">
        <f>(GM19*GQ19+GM20*GQ20)/GQ21</f>
        <v>100</v>
      </c>
      <c r="GN21" s="7">
        <f>(GN19*GQ19+GN20*GQ20)/GQ21</f>
        <v>0</v>
      </c>
      <c r="GO21" s="30">
        <f>SUM(GO19:GO20)</f>
        <v>1440</v>
      </c>
      <c r="GP21" s="29">
        <f>SUM(GP19:GP20)</f>
        <v>0</v>
      </c>
      <c r="GQ21" s="31">
        <f>SUM(GQ19:GQ20)</f>
        <v>900</v>
      </c>
      <c r="GR21" s="15"/>
      <c r="GT21" s="32" t="s">
        <v>39</v>
      </c>
      <c r="GU21" s="25">
        <f>SUM(GU19:GU20)</f>
        <v>0</v>
      </c>
      <c r="GV21" s="25">
        <f t="shared" ref="GV21:GX21" si="332">SUM(GV19:GV20)</f>
        <v>0</v>
      </c>
      <c r="GW21" s="25">
        <f>SUM(GW19:GW20)</f>
        <v>0</v>
      </c>
      <c r="GX21" s="25">
        <f t="shared" si="332"/>
        <v>1488</v>
      </c>
      <c r="GY21" s="26">
        <f>(GY19*HK19+GY20*HK20)/HK21</f>
        <v>100</v>
      </c>
      <c r="GZ21" s="25">
        <f t="shared" ref="GZ21:HD21" si="333">SUM(GZ19:GZ20)</f>
        <v>0</v>
      </c>
      <c r="HA21" s="26">
        <f>(HA19*HK19+HA20*HK20)/HK21</f>
        <v>0</v>
      </c>
      <c r="HB21" s="26">
        <f>SUM(HB19:HB20)</f>
        <v>0</v>
      </c>
      <c r="HC21" s="26">
        <f>(HC19*HK19+HC20*HK20)/HK21</f>
        <v>0</v>
      </c>
      <c r="HD21" s="25">
        <f t="shared" si="333"/>
        <v>0</v>
      </c>
      <c r="HE21" s="26">
        <f>(HE19*HK19+HE20*HK20)/HK21</f>
        <v>0</v>
      </c>
      <c r="HF21" s="7">
        <f>(HF19*HK19+HF20*HK20)/HK21</f>
        <v>0</v>
      </c>
      <c r="HG21" s="7">
        <f>(HG19*HK19+HG20*HK20)/HK21</f>
        <v>100</v>
      </c>
      <c r="HH21" s="7">
        <f>(HH19*HK19+HH20*HK20)/HK21</f>
        <v>0</v>
      </c>
      <c r="HI21" s="30">
        <f>SUM(HI19:HI20)</f>
        <v>1488</v>
      </c>
      <c r="HJ21" s="29">
        <f>SUM(HJ19:HJ20)</f>
        <v>0</v>
      </c>
      <c r="HK21" s="31">
        <f>SUM(HK19:HK20)</f>
        <v>900</v>
      </c>
      <c r="HL21" s="15"/>
      <c r="HN21" s="32" t="s">
        <v>39</v>
      </c>
      <c r="HO21" s="29">
        <f>SUM(HO19:HO20)</f>
        <v>218.07</v>
      </c>
      <c r="HP21" s="29">
        <f t="shared" ref="HP21:HR21" si="334">SUM(HP19:HP20)</f>
        <v>218.07</v>
      </c>
      <c r="HQ21" s="29">
        <f t="shared" si="334"/>
        <v>0</v>
      </c>
      <c r="HR21" s="29">
        <f t="shared" si="334"/>
        <v>1221.93</v>
      </c>
      <c r="HS21" s="26">
        <f>(HS19*IE19+HS20*IE20)/IE21</f>
        <v>84.856250000000003</v>
      </c>
      <c r="HT21" s="29">
        <f t="shared" ref="HT21" si="335">SUM(HT19:HT20)</f>
        <v>0</v>
      </c>
      <c r="HU21" s="26">
        <f>(HU19*IE19+HU20*IE20)/IE21</f>
        <v>0</v>
      </c>
      <c r="HV21" s="29">
        <f t="shared" ref="HV21" si="336">SUM(HV19:HV20)</f>
        <v>0</v>
      </c>
      <c r="HW21" s="26">
        <f>(HW19*IE19+HW20*IE20)/IE21</f>
        <v>0</v>
      </c>
      <c r="HX21" s="29">
        <f t="shared" ref="HX21" si="337">SUM(HX19:HX20)</f>
        <v>57.97</v>
      </c>
      <c r="HY21" s="30">
        <f>(HY19*IE19+HY20*IE20)/IE21</f>
        <v>15.143750000000001</v>
      </c>
      <c r="HZ21" s="193">
        <f>(HZ19*IE19+HZ20*IE20)/IE21</f>
        <v>11.118055555555555</v>
      </c>
      <c r="IA21" s="193">
        <f>(IA19*IE19+IA20*IE20)/IE21</f>
        <v>88.881944444444443</v>
      </c>
      <c r="IB21" s="193">
        <f>(IB19*IE19+IB20*IE20)/IE21</f>
        <v>6.7013888888888893</v>
      </c>
      <c r="IC21" s="30">
        <f>SUM(IC19:IC20)</f>
        <v>1440</v>
      </c>
      <c r="ID21" s="45">
        <f>SUM(ID19:ID20)</f>
        <v>43425</v>
      </c>
      <c r="IE21" s="31">
        <f>SUM(IE19:IE20)</f>
        <v>900</v>
      </c>
      <c r="IF21" s="31">
        <f>SUM(IF19:IF20)</f>
        <v>800</v>
      </c>
    </row>
    <row r="22" spans="1:240" ht="15" x14ac:dyDescent="0.25">
      <c r="B22" s="16"/>
      <c r="G22" s="6"/>
      <c r="I22" s="6"/>
      <c r="J22" s="6"/>
      <c r="K22" s="6"/>
      <c r="M22" s="6"/>
      <c r="N22" s="18"/>
      <c r="O22" s="18"/>
      <c r="P22" s="18"/>
      <c r="Q22" s="6"/>
      <c r="R22" s="195"/>
      <c r="S22" s="15"/>
      <c r="T22" s="15"/>
      <c r="V22" s="16"/>
      <c r="AA22" s="6"/>
      <c r="AC22" s="6"/>
      <c r="AD22" s="6"/>
      <c r="AE22" s="6"/>
      <c r="AG22" s="6"/>
      <c r="AH22" s="6"/>
      <c r="AI22" s="6"/>
      <c r="AJ22" s="18"/>
      <c r="AK22" s="6"/>
      <c r="AL22" s="42"/>
      <c r="AM22" s="15"/>
      <c r="AN22" s="15"/>
      <c r="AP22" s="16"/>
      <c r="AU22" s="6"/>
      <c r="AW22" s="6"/>
      <c r="AX22" s="6"/>
      <c r="AY22" s="6"/>
      <c r="BA22" s="6"/>
      <c r="BB22" s="18"/>
      <c r="BC22" s="18"/>
      <c r="BD22" s="18"/>
      <c r="BE22" s="6"/>
      <c r="BF22" s="42"/>
      <c r="BG22" s="15"/>
      <c r="BH22" s="15"/>
      <c r="BJ22" s="16"/>
      <c r="BO22" s="6"/>
      <c r="BQ22" s="6"/>
      <c r="BR22" s="6"/>
      <c r="BS22" s="6"/>
      <c r="BU22" s="6"/>
      <c r="BV22" s="18"/>
      <c r="BW22" s="18"/>
      <c r="BX22" s="18"/>
      <c r="BY22" s="6"/>
      <c r="BZ22" s="42"/>
      <c r="CA22" s="15"/>
      <c r="CB22" s="15"/>
      <c r="CD22" s="16"/>
      <c r="CI22" s="6"/>
      <c r="CK22" s="6"/>
      <c r="CL22" s="6"/>
      <c r="CM22" s="6"/>
      <c r="CO22" s="6"/>
      <c r="CP22" s="18"/>
      <c r="CQ22" s="18"/>
      <c r="CR22" s="18"/>
      <c r="CS22" s="6"/>
      <c r="CT22" s="42"/>
      <c r="CU22" s="15"/>
      <c r="CV22" s="15"/>
      <c r="CX22" s="16"/>
      <c r="DC22" s="6"/>
      <c r="DE22" s="6"/>
      <c r="DF22" s="6"/>
      <c r="DG22" s="6"/>
      <c r="DI22" s="6"/>
      <c r="DJ22" s="18"/>
      <c r="DK22" s="18"/>
      <c r="DL22" s="18"/>
      <c r="DM22" s="6"/>
      <c r="DO22" s="15"/>
      <c r="DP22" s="15"/>
      <c r="DR22" s="16"/>
      <c r="DW22" s="6"/>
      <c r="DY22" s="6"/>
      <c r="DZ22" s="6"/>
      <c r="EA22" s="6"/>
      <c r="EC22" s="6"/>
      <c r="ED22" s="18"/>
      <c r="EE22" s="18"/>
      <c r="EF22" s="18"/>
      <c r="EG22" s="6"/>
      <c r="EH22" s="42"/>
      <c r="EI22" s="15">
        <f>SUM(EI12,EI15,EI18,EI21)</f>
        <v>2792</v>
      </c>
      <c r="EJ22" s="15"/>
      <c r="EL22" s="16"/>
      <c r="EO22" s="6"/>
      <c r="EQ22" s="6"/>
      <c r="ES22" s="6"/>
      <c r="ET22" s="6"/>
      <c r="EU22" s="6"/>
      <c r="EW22" s="6"/>
      <c r="EX22" s="18"/>
      <c r="EY22" s="18"/>
      <c r="EZ22" s="18"/>
      <c r="FA22" s="6"/>
      <c r="FB22" s="42"/>
      <c r="FC22" s="15"/>
      <c r="FD22" s="15"/>
      <c r="FF22" s="16"/>
      <c r="FK22" s="6"/>
      <c r="FM22" s="6"/>
      <c r="FN22" s="6"/>
      <c r="FO22" s="6"/>
      <c r="FQ22" s="6"/>
      <c r="FR22" s="18"/>
      <c r="FS22" s="18"/>
      <c r="FT22" s="18"/>
      <c r="FU22" s="6"/>
      <c r="FW22" s="15"/>
      <c r="FX22" s="15"/>
      <c r="FZ22" s="16"/>
      <c r="GE22" s="69"/>
      <c r="GG22" s="6"/>
      <c r="GH22" s="15"/>
      <c r="GI22" s="6"/>
      <c r="GK22" s="6"/>
      <c r="GL22" s="18"/>
      <c r="GM22" s="18"/>
      <c r="GN22" s="18"/>
      <c r="GO22" s="6"/>
      <c r="GQ22" s="15">
        <f>SUM(GQ21,GQ18,GQ15,GQ12)</f>
        <v>2792</v>
      </c>
      <c r="GR22" s="15"/>
      <c r="GT22" s="16"/>
      <c r="GY22" s="6"/>
      <c r="HA22" s="6"/>
      <c r="HB22" s="6"/>
      <c r="HC22" s="6"/>
      <c r="HE22" s="6"/>
      <c r="HF22" s="18"/>
      <c r="HG22" s="18"/>
      <c r="HH22" s="18"/>
      <c r="HI22" s="6"/>
      <c r="HK22" s="15"/>
      <c r="HL22" s="15"/>
      <c r="HN22" s="16"/>
      <c r="HS22" s="6"/>
      <c r="HU22" s="6"/>
      <c r="HW22" s="6"/>
      <c r="HY22" s="6"/>
      <c r="HZ22" s="18"/>
      <c r="IA22" s="18"/>
      <c r="IB22" s="18"/>
      <c r="IC22" s="6"/>
      <c r="ID22" s="43"/>
      <c r="IE22" s="15"/>
      <c r="IF22" s="15">
        <f>SUM(IF6:IF20)</f>
        <v>3750</v>
      </c>
    </row>
    <row r="23" spans="1:240" ht="15" x14ac:dyDescent="0.25">
      <c r="A23" s="74" t="s">
        <v>45</v>
      </c>
      <c r="B23" s="8" t="s">
        <v>46</v>
      </c>
      <c r="C23" s="8">
        <v>504.8</v>
      </c>
      <c r="D23" s="8">
        <v>126</v>
      </c>
      <c r="E23" s="8">
        <v>378.8</v>
      </c>
      <c r="F23" s="8">
        <v>239.2</v>
      </c>
      <c r="G23" s="6">
        <f>(F23/$B$4)*100</f>
        <v>32.1505376344086</v>
      </c>
      <c r="H23" s="8">
        <v>0</v>
      </c>
      <c r="I23" s="6">
        <f>(H23/$B$4)*100</f>
        <v>0</v>
      </c>
      <c r="J23" s="6">
        <v>0</v>
      </c>
      <c r="K23" s="6">
        <f>(J23/$B$4)*100</f>
        <v>0</v>
      </c>
      <c r="L23" s="8">
        <v>0</v>
      </c>
      <c r="M23" s="6">
        <f>(C23/$B$4)*100</f>
        <v>67.849462365591393</v>
      </c>
      <c r="N23" s="6">
        <f t="shared" si="279"/>
        <v>67.849462365591393</v>
      </c>
      <c r="O23" s="6">
        <f t="shared" si="116"/>
        <v>65.498357064622127</v>
      </c>
      <c r="P23" s="6">
        <f>(R23/($B$4*S23))*100</f>
        <v>2.8407818100358426</v>
      </c>
      <c r="Q23" s="6">
        <f>SUM(D23:F23,H23,J23)</f>
        <v>744</v>
      </c>
      <c r="R23" s="86">
        <v>2029</v>
      </c>
      <c r="S23" s="8">
        <v>96</v>
      </c>
      <c r="U23" s="74" t="s">
        <v>45</v>
      </c>
      <c r="V23" s="8" t="s">
        <v>46</v>
      </c>
      <c r="W23" s="6">
        <f>$V$4-Z23-AB23-AD23</f>
        <v>636.79999999999995</v>
      </c>
      <c r="X23" s="8">
        <v>468</v>
      </c>
      <c r="Y23" s="8">
        <v>168.8</v>
      </c>
      <c r="Z23" s="8">
        <v>107.2</v>
      </c>
      <c r="AA23" s="6">
        <f t="shared" si="117"/>
        <v>14.408602150537636</v>
      </c>
      <c r="AB23" s="8">
        <v>0</v>
      </c>
      <c r="AC23" s="8">
        <f t="shared" si="118"/>
        <v>0</v>
      </c>
      <c r="AD23" s="8">
        <v>0</v>
      </c>
      <c r="AE23" s="6">
        <f>(AD23/$V$4)*100</f>
        <v>0</v>
      </c>
      <c r="AF23" s="8">
        <v>0</v>
      </c>
      <c r="AG23" s="6">
        <f>(W23/$V$4)*100</f>
        <v>85.591397849462354</v>
      </c>
      <c r="AH23" s="6">
        <f t="shared" si="119"/>
        <v>85.591397849462354</v>
      </c>
      <c r="AI23" s="6">
        <f t="shared" si="120"/>
        <v>18.636995827538247</v>
      </c>
      <c r="AJ23" s="6">
        <f>(AL23/($V$4*AM23))*100</f>
        <v>16.301243279569892</v>
      </c>
      <c r="AK23" s="6">
        <f>SUM(X23:Z23,AB23,AD23)</f>
        <v>744</v>
      </c>
      <c r="AL23" s="86">
        <v>11643</v>
      </c>
      <c r="AM23" s="8">
        <v>96</v>
      </c>
      <c r="AO23" s="74" t="s">
        <v>45</v>
      </c>
      <c r="AP23" s="8" t="s">
        <v>46</v>
      </c>
      <c r="AQ23" s="8">
        <v>405.8</v>
      </c>
      <c r="AR23" s="8">
        <v>356</v>
      </c>
      <c r="AS23" s="8">
        <v>49.8</v>
      </c>
      <c r="AT23" s="8">
        <v>314.2</v>
      </c>
      <c r="AU23" s="6">
        <f t="shared" si="121"/>
        <v>43.638888888888886</v>
      </c>
      <c r="AV23" s="8">
        <v>0</v>
      </c>
      <c r="AW23" s="8">
        <f t="shared" si="122"/>
        <v>0</v>
      </c>
      <c r="AX23" s="8">
        <v>0</v>
      </c>
      <c r="AY23" s="6">
        <f>(AX23/$AP$4)*100</f>
        <v>0</v>
      </c>
      <c r="AZ23" s="8">
        <v>0</v>
      </c>
      <c r="BA23" s="6">
        <f>(AQ23/$AP$4)*100</f>
        <v>56.361111111111114</v>
      </c>
      <c r="BB23" s="6">
        <f t="shared" si="123"/>
        <v>56.361111111111114</v>
      </c>
      <c r="BC23" s="6">
        <f t="shared" si="124"/>
        <v>46.881527902118762</v>
      </c>
      <c r="BD23" s="6">
        <f>(BF23/($AP$4*BG23))*100</f>
        <v>14.068287037037036</v>
      </c>
      <c r="BE23" s="6">
        <f>SUM(AR23:AT23,AV23,AX23)</f>
        <v>720</v>
      </c>
      <c r="BF23" s="86">
        <v>9724</v>
      </c>
      <c r="BG23" s="8">
        <v>96</v>
      </c>
      <c r="BI23" s="74" t="s">
        <v>45</v>
      </c>
      <c r="BJ23" s="8" t="s">
        <v>46</v>
      </c>
      <c r="BK23" s="8">
        <v>721.1</v>
      </c>
      <c r="BL23" s="8">
        <v>628</v>
      </c>
      <c r="BM23" s="8">
        <v>93.1</v>
      </c>
      <c r="BN23" s="8">
        <v>13.1</v>
      </c>
      <c r="BO23" s="6">
        <f t="shared" si="126"/>
        <v>1.760752688172043</v>
      </c>
      <c r="BP23" s="8">
        <v>0</v>
      </c>
      <c r="BQ23" s="8">
        <f t="shared" si="127"/>
        <v>0</v>
      </c>
      <c r="BR23" s="8">
        <v>9.8000000000000007</v>
      </c>
      <c r="BS23" s="6">
        <f>(BR23/$BJ$4)*100</f>
        <v>1.3172043010752688</v>
      </c>
      <c r="BT23" s="8">
        <v>0</v>
      </c>
      <c r="BU23" s="6">
        <f>(BK23/$BJ$4)*100</f>
        <v>96.922043010752688</v>
      </c>
      <c r="BV23" s="6">
        <f t="shared" si="128"/>
        <v>96.922043010752688</v>
      </c>
      <c r="BW23" s="6">
        <f t="shared" si="129"/>
        <v>2.043362969895492</v>
      </c>
      <c r="BX23" s="6">
        <f>(BZ23/($BJ$4*CA23))*100</f>
        <v>22.913866487455198</v>
      </c>
      <c r="BY23" s="6">
        <f>SUM(BL23:BN23,BP23,BR23)</f>
        <v>744</v>
      </c>
      <c r="BZ23" s="86">
        <v>16366</v>
      </c>
      <c r="CA23" s="8">
        <v>96</v>
      </c>
      <c r="CC23" s="74" t="s">
        <v>45</v>
      </c>
      <c r="CD23" s="8" t="s">
        <v>46</v>
      </c>
      <c r="CE23" s="8">
        <v>720</v>
      </c>
      <c r="CF23" s="8">
        <v>239</v>
      </c>
      <c r="CG23" s="8">
        <v>481</v>
      </c>
      <c r="CH23" s="8">
        <v>0</v>
      </c>
      <c r="CI23" s="6">
        <f>(CH23/$CD$4)*100</f>
        <v>0</v>
      </c>
      <c r="CJ23" s="8">
        <v>0</v>
      </c>
      <c r="CK23" s="6">
        <f t="shared" si="131"/>
        <v>0</v>
      </c>
      <c r="CL23" s="6">
        <v>0</v>
      </c>
      <c r="CM23" s="6">
        <f>(CL23/$CD$4)*100</f>
        <v>0</v>
      </c>
      <c r="CN23" s="8">
        <v>0</v>
      </c>
      <c r="CO23" s="6">
        <f>(CE23/$CD$4)*100</f>
        <v>100</v>
      </c>
      <c r="CP23" s="6">
        <f t="shared" si="132"/>
        <v>100</v>
      </c>
      <c r="CQ23" s="18">
        <f>IF((AND(CF23=0,CH23=0)),0,(CH23+CN23)/(CF23+CH23)*100)</f>
        <v>0</v>
      </c>
      <c r="CR23" s="6">
        <f>(CT23/($CD$4*CU23))*100</f>
        <v>6.4163773148148158</v>
      </c>
      <c r="CS23" s="6">
        <f>SUM(CF23:CH23,CJ23,CL23)</f>
        <v>720</v>
      </c>
      <c r="CT23" s="42">
        <v>4435</v>
      </c>
      <c r="CU23" s="8">
        <v>96</v>
      </c>
      <c r="CW23" s="74" t="s">
        <v>45</v>
      </c>
      <c r="CX23" s="8" t="s">
        <v>46</v>
      </c>
      <c r="CY23" s="8">
        <v>283.10000000000002</v>
      </c>
      <c r="CZ23" s="8">
        <v>241</v>
      </c>
      <c r="DA23" s="8">
        <v>42.1</v>
      </c>
      <c r="DB23" s="8">
        <v>460.9</v>
      </c>
      <c r="DC23" s="6">
        <f t="shared" si="133"/>
        <v>61.9489247311828</v>
      </c>
      <c r="DD23" s="8">
        <v>0</v>
      </c>
      <c r="DE23" s="6">
        <f t="shared" si="134"/>
        <v>0</v>
      </c>
      <c r="DF23" s="6">
        <v>0</v>
      </c>
      <c r="DG23" s="6">
        <f>(DF23/$CX$4)*100</f>
        <v>0</v>
      </c>
      <c r="DH23" s="8">
        <v>0</v>
      </c>
      <c r="DI23" s="6">
        <f>(CY23/$V$4)*100</f>
        <v>38.051075268817208</v>
      </c>
      <c r="DJ23" s="6">
        <f t="shared" si="135"/>
        <v>38.051075268817208</v>
      </c>
      <c r="DK23" s="18">
        <f t="shared" si="136"/>
        <v>65.664624590397494</v>
      </c>
      <c r="DL23" s="6">
        <f>(DN23/($CX$4*DO23))*100</f>
        <v>11.622143817204302</v>
      </c>
      <c r="DM23" s="6">
        <f>SUM(CZ23:DB23,DD23,DF23)</f>
        <v>744</v>
      </c>
      <c r="DN23" s="86">
        <v>8301</v>
      </c>
      <c r="DO23" s="8">
        <v>96</v>
      </c>
      <c r="DQ23" s="74" t="s">
        <v>45</v>
      </c>
      <c r="DR23" s="8" t="s">
        <v>46</v>
      </c>
      <c r="DS23" s="8">
        <v>0</v>
      </c>
      <c r="DT23" s="8">
        <v>0</v>
      </c>
      <c r="DU23" s="8">
        <v>0</v>
      </c>
      <c r="DV23" s="8">
        <v>744</v>
      </c>
      <c r="DW23" s="6">
        <f>(DV23/$DR$4)*100</f>
        <v>100</v>
      </c>
      <c r="DX23" s="8">
        <v>0</v>
      </c>
      <c r="DY23" s="6">
        <f>(DX23/$DR$4)*100</f>
        <v>0</v>
      </c>
      <c r="DZ23" s="6">
        <v>0</v>
      </c>
      <c r="EA23" s="6">
        <f>(DZ23/$DR$4)*100</f>
        <v>0</v>
      </c>
      <c r="EB23" s="8">
        <v>0</v>
      </c>
      <c r="EC23" s="6">
        <f>(DS23/$V$4)*100</f>
        <v>0</v>
      </c>
      <c r="ED23" s="6">
        <f>((DS23-EB23)/$DR$4)*100</f>
        <v>0</v>
      </c>
      <c r="EE23" s="18">
        <f>IF((AND(DT23=0,DV23=0)),0,(DV23+EB23)/(DT23+DV23)*100)</f>
        <v>100</v>
      </c>
      <c r="EF23" s="6">
        <f>(EH23/($DR$4*EI23))*100</f>
        <v>0</v>
      </c>
      <c r="EG23" s="6">
        <f>SUM(DT23:DV23,DX23,DZ23)</f>
        <v>744</v>
      </c>
      <c r="EH23" s="8">
        <v>0</v>
      </c>
      <c r="EI23" s="8">
        <v>96</v>
      </c>
      <c r="EK23" s="74" t="s">
        <v>45</v>
      </c>
      <c r="EL23" s="8" t="s">
        <v>46</v>
      </c>
      <c r="EM23" s="8">
        <v>0</v>
      </c>
      <c r="EN23" s="8">
        <v>0</v>
      </c>
      <c r="EO23" s="8">
        <v>0</v>
      </c>
      <c r="EP23" s="8">
        <v>672</v>
      </c>
      <c r="EQ23" s="6">
        <f t="shared" si="140"/>
        <v>100</v>
      </c>
      <c r="ER23" s="8">
        <v>0</v>
      </c>
      <c r="ES23" s="6">
        <f t="shared" si="141"/>
        <v>0</v>
      </c>
      <c r="ET23" s="6">
        <v>0</v>
      </c>
      <c r="EU23" s="6">
        <f>(ET23/$EL$4)*100</f>
        <v>0</v>
      </c>
      <c r="EV23" s="8">
        <v>0</v>
      </c>
      <c r="EW23" s="6">
        <f>(EM23/$V$4)*100</f>
        <v>0</v>
      </c>
      <c r="EX23" s="6">
        <f t="shared" si="142"/>
        <v>0</v>
      </c>
      <c r="EY23" s="18">
        <f>IF((AND(EN23=0,EP23=0)),0,(EP23+EV23)/(EN23+EP23)*100)</f>
        <v>100</v>
      </c>
      <c r="EZ23" s="6">
        <f>(FB23/($EL$4*FC23))*100</f>
        <v>0</v>
      </c>
      <c r="FA23" s="6">
        <f>SUM(EN23:EP23,ER23,ET23)</f>
        <v>672</v>
      </c>
      <c r="FB23" s="8">
        <v>0</v>
      </c>
      <c r="FC23" s="8">
        <v>96</v>
      </c>
      <c r="FE23" s="74" t="s">
        <v>45</v>
      </c>
      <c r="FF23" s="8" t="s">
        <v>46</v>
      </c>
      <c r="FG23" s="8">
        <v>0</v>
      </c>
      <c r="FH23" s="8">
        <v>0</v>
      </c>
      <c r="FI23" s="8">
        <v>0</v>
      </c>
      <c r="FJ23" s="8">
        <v>744</v>
      </c>
      <c r="FK23" s="6">
        <f>(FJ23/$FF$4)*100</f>
        <v>100</v>
      </c>
      <c r="FL23" s="8">
        <v>0</v>
      </c>
      <c r="FM23" s="6">
        <f>(FL23/$FF$4)*100</f>
        <v>0</v>
      </c>
      <c r="FN23" s="6">
        <v>0</v>
      </c>
      <c r="FO23" s="6">
        <f>(FN23/$FF$4)*100</f>
        <v>0</v>
      </c>
      <c r="FP23" s="8">
        <v>0</v>
      </c>
      <c r="FQ23" s="6">
        <f>(FG23/$V$4)*100</f>
        <v>0</v>
      </c>
      <c r="FR23" s="6">
        <f>((FG23-FP23)/$FF$4)*100</f>
        <v>0</v>
      </c>
      <c r="FS23" s="18">
        <f t="shared" si="143"/>
        <v>100</v>
      </c>
      <c r="FT23" s="6">
        <f>(FV23/($FF$4*FW23))*100</f>
        <v>1.7515120967741933</v>
      </c>
      <c r="FU23" s="6">
        <f>SUM(FH23:FJ23,FL23,FN23)</f>
        <v>744</v>
      </c>
      <c r="FV23" s="99">
        <v>1251</v>
      </c>
      <c r="FW23" s="8">
        <v>96</v>
      </c>
      <c r="FY23" s="74" t="s">
        <v>45</v>
      </c>
      <c r="FZ23" s="8" t="s">
        <v>46</v>
      </c>
      <c r="GA23" s="8">
        <v>0</v>
      </c>
      <c r="GB23" s="8">
        <v>0</v>
      </c>
      <c r="GC23" s="8">
        <v>0</v>
      </c>
      <c r="GD23" s="8">
        <v>720</v>
      </c>
      <c r="GE23" s="6">
        <f>(GD23/$FZ$4)</f>
        <v>1</v>
      </c>
      <c r="GF23" s="8">
        <v>0</v>
      </c>
      <c r="GG23" s="6">
        <f t="shared" si="144"/>
        <v>0</v>
      </c>
      <c r="GH23" s="6">
        <v>0</v>
      </c>
      <c r="GI23" s="6">
        <f>(GH23/$FZ$4)*100</f>
        <v>0</v>
      </c>
      <c r="GJ23" s="8">
        <v>0</v>
      </c>
      <c r="GK23" s="6">
        <f>(GA23/$V$4)*100</f>
        <v>0</v>
      </c>
      <c r="GL23" s="6">
        <f t="shared" si="145"/>
        <v>0</v>
      </c>
      <c r="GM23" s="18">
        <f>IF((AND(GB23=0,GD23=0)),0,(GD23+GJ23)/(GB23+GD23)*100)</f>
        <v>100</v>
      </c>
      <c r="GN23" s="6">
        <f>(GP23/($FZ$4*GQ23))*100</f>
        <v>0</v>
      </c>
      <c r="GO23" s="6">
        <f>SUM(GB23:GD23,GF23,GH23)</f>
        <v>720</v>
      </c>
      <c r="GP23" s="8">
        <v>0</v>
      </c>
      <c r="GQ23" s="8">
        <v>96</v>
      </c>
      <c r="GS23" s="74" t="s">
        <v>45</v>
      </c>
      <c r="GT23" s="8" t="s">
        <v>46</v>
      </c>
      <c r="GU23" s="8">
        <v>0</v>
      </c>
      <c r="GV23" s="8">
        <v>0</v>
      </c>
      <c r="GW23" s="8">
        <v>0</v>
      </c>
      <c r="GX23" s="8">
        <v>744</v>
      </c>
      <c r="GY23" s="6">
        <f t="shared" ref="GY23:HA38" si="338">(GX23/$GT$4)*100</f>
        <v>100</v>
      </c>
      <c r="GZ23" s="8">
        <v>0</v>
      </c>
      <c r="HA23" s="6">
        <f t="shared" si="338"/>
        <v>0</v>
      </c>
      <c r="HB23" s="6">
        <v>0</v>
      </c>
      <c r="HC23" s="6">
        <f>(HB23/$GT$4)*100</f>
        <v>0</v>
      </c>
      <c r="HD23" s="8">
        <v>0</v>
      </c>
      <c r="HE23" s="6">
        <f>(GU23/$GT$4)*100</f>
        <v>0</v>
      </c>
      <c r="HF23" s="6">
        <f>((GU23-HD23)/$GT$4)*100</f>
        <v>0</v>
      </c>
      <c r="HG23" s="18">
        <f>IF((AND(GV23=0,GX23=0)),0,(GX23+HD23)/(GV23+GX23)*100)</f>
        <v>100</v>
      </c>
      <c r="HH23" s="6">
        <f>(HJ23/($GT$4*HK23))*100</f>
        <v>0</v>
      </c>
      <c r="HI23" s="6">
        <f>SUM(GV23:GX23,GZ23,HB23)</f>
        <v>744</v>
      </c>
      <c r="HJ23" s="8">
        <v>0</v>
      </c>
      <c r="HK23" s="8">
        <v>96</v>
      </c>
      <c r="HM23" s="74" t="s">
        <v>45</v>
      </c>
      <c r="HN23" s="8" t="s">
        <v>46</v>
      </c>
      <c r="HO23" s="52">
        <v>0</v>
      </c>
      <c r="HP23" s="52">
        <v>0</v>
      </c>
      <c r="HQ23" s="52">
        <v>0</v>
      </c>
      <c r="HR23" s="52">
        <v>720</v>
      </c>
      <c r="HS23" s="6">
        <f>(HR23/$HN$4)*100</f>
        <v>100</v>
      </c>
      <c r="HT23" s="52">
        <v>0</v>
      </c>
      <c r="HU23" s="6">
        <f>(HT23/$HN$4)*100</f>
        <v>0</v>
      </c>
      <c r="HV23" s="52">
        <v>0</v>
      </c>
      <c r="HW23" s="6">
        <f>(HV23/$HN$4)*100</f>
        <v>0</v>
      </c>
      <c r="HX23" s="8">
        <v>0</v>
      </c>
      <c r="HY23" s="6">
        <f>(HO23/$HN$4)*100</f>
        <v>0</v>
      </c>
      <c r="HZ23" s="6">
        <f>((HO23-HX23)/$HN$4)*100</f>
        <v>0</v>
      </c>
      <c r="IA23" s="18">
        <f>IF((AND(HP23=0,HR23=0)),0,(HR23+HX23)/(HP23+HR23)*100)</f>
        <v>100</v>
      </c>
      <c r="IB23" s="6">
        <f>(ID23/($HN$4*IE23))*100</f>
        <v>0</v>
      </c>
      <c r="IC23" s="6">
        <f>SUM(HP23:HR23,HT23,HV23)</f>
        <v>720</v>
      </c>
      <c r="ID23" s="54">
        <v>0</v>
      </c>
      <c r="IE23" s="8">
        <v>96</v>
      </c>
      <c r="IF23" s="15">
        <v>0</v>
      </c>
    </row>
    <row r="24" spans="1:240" ht="14.25" x14ac:dyDescent="0.25">
      <c r="B24" s="37" t="s">
        <v>47</v>
      </c>
      <c r="C24" s="8">
        <v>528.9</v>
      </c>
      <c r="D24" s="8">
        <v>184</v>
      </c>
      <c r="E24" s="8">
        <v>344.9</v>
      </c>
      <c r="F24" s="8">
        <v>21</v>
      </c>
      <c r="G24" s="6">
        <f t="shared" ref="G24:K78" si="339">(F24/$B$4)*100</f>
        <v>2.82258064516129</v>
      </c>
      <c r="H24" s="8">
        <v>185.6</v>
      </c>
      <c r="I24" s="6">
        <f t="shared" ref="I24:I78" si="340">(H24/$B$4)*100</f>
        <v>24.946236559139784</v>
      </c>
      <c r="J24" s="6">
        <v>8.5</v>
      </c>
      <c r="K24" s="6">
        <f t="shared" ref="K24:K32" si="341">(J24/$B$4)*100</f>
        <v>1.14247311827957</v>
      </c>
      <c r="L24" s="8">
        <v>0</v>
      </c>
      <c r="M24" s="6">
        <f t="shared" ref="M24" si="342">(C24/$B$4)*100</f>
        <v>71.088709677419345</v>
      </c>
      <c r="N24" s="6">
        <f t="shared" si="279"/>
        <v>71.088709677419345</v>
      </c>
      <c r="O24" s="6">
        <f t="shared" si="116"/>
        <v>10.24390243902439</v>
      </c>
      <c r="P24" s="6">
        <f t="shared" ref="P24:P32" si="343">(R24/($B$4*S24))*100</f>
        <v>15.615591397849462</v>
      </c>
      <c r="Q24" s="6">
        <f t="shared" ref="Q24:Q32" si="344">SUM(D24:F24,H24,J24)</f>
        <v>744</v>
      </c>
      <c r="R24" s="86">
        <v>5809</v>
      </c>
      <c r="S24" s="8">
        <v>50</v>
      </c>
      <c r="V24" s="37" t="s">
        <v>47</v>
      </c>
      <c r="W24" s="6">
        <f t="shared" ref="W24:W31" si="345">$V$4-Z24-AB24-AD24</f>
        <v>684.2</v>
      </c>
      <c r="X24" s="8">
        <v>434</v>
      </c>
      <c r="Y24" s="8">
        <v>250.2</v>
      </c>
      <c r="Z24" s="8">
        <v>33.799999999999997</v>
      </c>
      <c r="AA24" s="6">
        <f t="shared" si="117"/>
        <v>4.543010752688172</v>
      </c>
      <c r="AB24" s="8">
        <v>17.899999999999999</v>
      </c>
      <c r="AC24" s="6">
        <f t="shared" si="118"/>
        <v>2.4059139784946235</v>
      </c>
      <c r="AD24" s="6">
        <v>8.1</v>
      </c>
      <c r="AE24" s="6">
        <f t="shared" ref="AE24:AE32" si="346">(AD24/$V$4)*100</f>
        <v>1.0887096774193548</v>
      </c>
      <c r="AF24" s="8">
        <v>0</v>
      </c>
      <c r="AG24" s="6">
        <f t="shared" ref="AG24:AG32" si="347">(W24/$V$4)*100</f>
        <v>91.962365591397855</v>
      </c>
      <c r="AH24" s="6">
        <f t="shared" si="119"/>
        <v>91.962365591397855</v>
      </c>
      <c r="AI24" s="6">
        <f t="shared" si="120"/>
        <v>7.2253099615220169</v>
      </c>
      <c r="AJ24" s="6">
        <f t="shared" ref="AJ24:AJ32" si="348">(AL24/($V$4*AM24))*100</f>
        <v>51.758064516129032</v>
      </c>
      <c r="AK24" s="6">
        <f t="shared" ref="AK24:AK32" si="349">SUM(X24:Z24,AB24,AD24)</f>
        <v>744</v>
      </c>
      <c r="AL24" s="86">
        <v>19254</v>
      </c>
      <c r="AM24" s="8">
        <v>50</v>
      </c>
      <c r="AP24" s="37" t="s">
        <v>47</v>
      </c>
      <c r="AQ24" s="8">
        <v>720</v>
      </c>
      <c r="AR24" s="8">
        <v>556</v>
      </c>
      <c r="AS24" s="8">
        <v>164</v>
      </c>
      <c r="AT24" s="8">
        <v>0</v>
      </c>
      <c r="AU24" s="8">
        <f t="shared" si="121"/>
        <v>0</v>
      </c>
      <c r="AV24" s="8">
        <v>0</v>
      </c>
      <c r="AW24" s="8">
        <f t="shared" si="122"/>
        <v>0</v>
      </c>
      <c r="AX24" s="8">
        <v>0</v>
      </c>
      <c r="AY24" s="6">
        <f t="shared" ref="AY24:AY32" si="350">(AX24/$AP$4)*100</f>
        <v>0</v>
      </c>
      <c r="AZ24" s="8">
        <v>0</v>
      </c>
      <c r="BA24" s="6">
        <f t="shared" ref="BA24:BA32" si="351">(AQ24/$AP$4)*100</f>
        <v>100</v>
      </c>
      <c r="BB24" s="8">
        <f t="shared" si="123"/>
        <v>100</v>
      </c>
      <c r="BC24" s="15">
        <f t="shared" si="124"/>
        <v>0</v>
      </c>
      <c r="BD24" s="6">
        <f t="shared" ref="BD24:BD26" si="352">(BF24/($AP$4*BG24))*100</f>
        <v>66.274999999999991</v>
      </c>
      <c r="BE24" s="6">
        <f t="shared" ref="BE24:BE32" si="353">SUM(AR24:AT24,AV24,AX24)</f>
        <v>720</v>
      </c>
      <c r="BF24" s="86">
        <v>23859</v>
      </c>
      <c r="BG24" s="8">
        <v>50</v>
      </c>
      <c r="BJ24" s="37" t="s">
        <v>47</v>
      </c>
      <c r="BK24" s="8">
        <v>744</v>
      </c>
      <c r="BL24" s="8">
        <v>526</v>
      </c>
      <c r="BM24" s="8">
        <v>218</v>
      </c>
      <c r="BN24" s="8">
        <v>0</v>
      </c>
      <c r="BO24" s="15">
        <f t="shared" si="126"/>
        <v>0</v>
      </c>
      <c r="BP24" s="8">
        <v>0</v>
      </c>
      <c r="BQ24" s="8">
        <f t="shared" si="127"/>
        <v>0</v>
      </c>
      <c r="BR24" s="8">
        <v>0</v>
      </c>
      <c r="BS24" s="6">
        <f t="shared" ref="BS24:BS32" si="354">(BR24/$BJ$4)*100</f>
        <v>0</v>
      </c>
      <c r="BT24" s="8">
        <v>0</v>
      </c>
      <c r="BU24" s="6">
        <f t="shared" ref="BU24:BU32" si="355">(BK24/$BJ$4)*100</f>
        <v>100</v>
      </c>
      <c r="BV24" s="6">
        <f t="shared" si="128"/>
        <v>100</v>
      </c>
      <c r="BW24" s="6">
        <f t="shared" si="129"/>
        <v>0</v>
      </c>
      <c r="BX24" s="6">
        <f t="shared" ref="BX24:BX32" si="356">(BZ24/($BJ$4*CA24))*100</f>
        <v>66.096774193548384</v>
      </c>
      <c r="BY24" s="6">
        <f t="shared" ref="BY24:BY32" si="357">SUM(BL24:BN24,BP24,BR24)</f>
        <v>744</v>
      </c>
      <c r="BZ24" s="86">
        <v>24588</v>
      </c>
      <c r="CA24" s="8">
        <v>50</v>
      </c>
      <c r="CD24" s="37" t="s">
        <v>47</v>
      </c>
      <c r="CE24" s="8">
        <v>718</v>
      </c>
      <c r="CF24" s="8">
        <v>347</v>
      </c>
      <c r="CG24" s="8">
        <v>371</v>
      </c>
      <c r="CH24" s="8">
        <v>2</v>
      </c>
      <c r="CI24" s="6">
        <f t="shared" ref="CI24:CI27" si="358">(CH24/$CD$4)*100</f>
        <v>0.27777777777777779</v>
      </c>
      <c r="CJ24" s="8">
        <v>0</v>
      </c>
      <c r="CK24" s="6">
        <f t="shared" si="131"/>
        <v>0</v>
      </c>
      <c r="CL24" s="6">
        <v>0</v>
      </c>
      <c r="CM24" s="6">
        <f t="shared" ref="CM24:CM32" si="359">(CL24/$CD$4)*100</f>
        <v>0</v>
      </c>
      <c r="CN24" s="8">
        <v>0</v>
      </c>
      <c r="CO24" s="6">
        <f t="shared" ref="CO24:CO32" si="360">(CE24/$CD$4)*100</f>
        <v>99.722222222222229</v>
      </c>
      <c r="CP24" s="6">
        <f t="shared" si="132"/>
        <v>99.722222222222229</v>
      </c>
      <c r="CQ24" s="18">
        <f t="shared" ref="CQ24:CQ27" si="361">IF((AND(CF24=0,CH24=0)),0,(CH24+CN24)/(CF24+CH24)*100)</f>
        <v>0.57306590257879653</v>
      </c>
      <c r="CR24" s="6">
        <f t="shared" ref="CR24:CR32" si="362">(CT24/($CD$4*CU24))*100</f>
        <v>39.1</v>
      </c>
      <c r="CS24" s="6">
        <f t="shared" ref="CS24:CS32" si="363">SUM(CF24:CH24,CJ24,CL24)</f>
        <v>720</v>
      </c>
      <c r="CT24" s="42">
        <v>14076</v>
      </c>
      <c r="CU24" s="8">
        <v>50</v>
      </c>
      <c r="CX24" s="37" t="s">
        <v>47</v>
      </c>
      <c r="CY24" s="8">
        <v>731.5</v>
      </c>
      <c r="CZ24" s="8">
        <v>419</v>
      </c>
      <c r="DA24" s="8">
        <v>312.5</v>
      </c>
      <c r="DB24" s="8">
        <v>12.5</v>
      </c>
      <c r="DC24" s="6">
        <f t="shared" si="133"/>
        <v>1.6801075268817203</v>
      </c>
      <c r="DD24" s="8">
        <v>0</v>
      </c>
      <c r="DE24" s="6">
        <f t="shared" si="134"/>
        <v>0</v>
      </c>
      <c r="DF24" s="6">
        <v>0</v>
      </c>
      <c r="DG24" s="6">
        <f t="shared" ref="DG24:DG32" si="364">(DF24/$CX$4)*100</f>
        <v>0</v>
      </c>
      <c r="DH24" s="8">
        <v>0</v>
      </c>
      <c r="DI24" s="6">
        <f t="shared" ref="DI24:DI32" si="365">(CY24/$V$4)*100</f>
        <v>98.319892473118273</v>
      </c>
      <c r="DJ24" s="6">
        <f t="shared" si="135"/>
        <v>98.319892473118273</v>
      </c>
      <c r="DK24" s="18">
        <f t="shared" si="136"/>
        <v>2.8968713789107765</v>
      </c>
      <c r="DL24" s="6">
        <f t="shared" ref="DL24:DL32" si="366">(DN24/($CX$4*DO24))*100</f>
        <v>49.08064516129032</v>
      </c>
      <c r="DM24" s="6">
        <f t="shared" ref="DM24:DM32" si="367">SUM(CZ24:DB24,DD24,DF24)</f>
        <v>744</v>
      </c>
      <c r="DN24" s="86">
        <v>18258</v>
      </c>
      <c r="DO24" s="8">
        <v>50</v>
      </c>
      <c r="DR24" s="37" t="s">
        <v>47</v>
      </c>
      <c r="DS24" s="8">
        <v>737.9</v>
      </c>
      <c r="DT24" s="8">
        <v>343</v>
      </c>
      <c r="DU24" s="8">
        <v>394.9</v>
      </c>
      <c r="DV24" s="8">
        <v>6.1</v>
      </c>
      <c r="DW24" s="6">
        <f t="shared" ref="DW24:DW27" si="368">(DV24/$DR$4)*100</f>
        <v>0.81989247311827951</v>
      </c>
      <c r="DX24" s="8">
        <v>0</v>
      </c>
      <c r="DY24" s="6">
        <f t="shared" ref="DY24:DY27" si="369">(DX24/$DR$4)*100</f>
        <v>0</v>
      </c>
      <c r="DZ24" s="6">
        <v>0</v>
      </c>
      <c r="EA24" s="6">
        <f t="shared" ref="EA24:EA32" si="370">(DZ24/$DR$4)*100</f>
        <v>0</v>
      </c>
      <c r="EB24" s="8">
        <v>0</v>
      </c>
      <c r="EC24" s="6">
        <f t="shared" ref="EC24:EC32" si="371">(DS24/$V$4)*100</f>
        <v>99.180107526881727</v>
      </c>
      <c r="ED24" s="6">
        <f t="shared" ref="ED24:ED27" si="372">((DS24-EB24)/$DR$4)*100</f>
        <v>99.180107526881727</v>
      </c>
      <c r="EE24" s="18">
        <f t="shared" ref="EE24:EE27" si="373">IF((AND(DT24=0,DV24=0)),0,(DV24+EB24)/(DT24+DV24)*100)</f>
        <v>1.7473503294185047</v>
      </c>
      <c r="EF24" s="6">
        <f t="shared" ref="EF24:EF32" si="374">(EH24/($DR$4*EI24))*100</f>
        <v>30.798387096774192</v>
      </c>
      <c r="EG24" s="6">
        <f t="shared" ref="EG24:EG32" si="375">SUM(DT24:DV24,DX24,DZ24)</f>
        <v>744</v>
      </c>
      <c r="EH24" s="86">
        <v>11457</v>
      </c>
      <c r="EI24" s="8">
        <v>50</v>
      </c>
      <c r="EL24" s="37" t="s">
        <v>47</v>
      </c>
      <c r="EM24" s="8">
        <v>642.5</v>
      </c>
      <c r="EN24" s="8">
        <v>152</v>
      </c>
      <c r="EO24" s="8">
        <v>490.5</v>
      </c>
      <c r="EP24" s="100">
        <v>0</v>
      </c>
      <c r="EQ24" s="6">
        <f t="shared" si="140"/>
        <v>0</v>
      </c>
      <c r="ER24" s="100">
        <v>29.5</v>
      </c>
      <c r="ES24" s="6">
        <f t="shared" si="141"/>
        <v>4.3898809523809517</v>
      </c>
      <c r="ET24" s="6">
        <v>0</v>
      </c>
      <c r="EU24" s="6">
        <f t="shared" ref="EU24:EU32" si="376">(ET24/$EL$4)*100</f>
        <v>0</v>
      </c>
      <c r="EV24" s="8">
        <v>0</v>
      </c>
      <c r="EW24" s="6">
        <f t="shared" ref="EW24:EW32" si="377">(EM24/$V$4)*100</f>
        <v>86.357526881720432</v>
      </c>
      <c r="EX24" s="6">
        <f t="shared" si="142"/>
        <v>95.610119047619051</v>
      </c>
      <c r="EY24" s="18">
        <f t="shared" ref="EY24:EY27" si="378">IF((AND(EN24=0,EP24=0)),0,(EP24+EV24)/(EN24+EP24)*100)</f>
        <v>0</v>
      </c>
      <c r="EZ24" s="6">
        <f t="shared" ref="EZ24:EZ32" si="379">(FB24/($EL$4*FC24))*100</f>
        <v>25.979166666666664</v>
      </c>
      <c r="FA24" s="6">
        <f t="shared" ref="FA24:FA32" si="380">SUM(EN24:EP24,ER24,ET24)</f>
        <v>672</v>
      </c>
      <c r="FB24" s="42">
        <v>8729</v>
      </c>
      <c r="FC24" s="8">
        <v>50</v>
      </c>
      <c r="FF24" s="37" t="s">
        <v>47</v>
      </c>
      <c r="FG24" s="21">
        <v>424.5</v>
      </c>
      <c r="FH24" s="100">
        <v>107</v>
      </c>
      <c r="FI24" s="100">
        <v>317.5</v>
      </c>
      <c r="FJ24" s="8">
        <v>319.5</v>
      </c>
      <c r="FK24" s="6">
        <f t="shared" ref="FK24:FM24" si="381">(FJ24/$FF$4)*100</f>
        <v>42.943548387096776</v>
      </c>
      <c r="FL24" s="8">
        <v>0</v>
      </c>
      <c r="FM24" s="6">
        <f t="shared" si="381"/>
        <v>0</v>
      </c>
      <c r="FN24" s="6">
        <v>0</v>
      </c>
      <c r="FO24" s="6">
        <f t="shared" ref="FO24:FO32" si="382">(FN24/$FF$4)*100</f>
        <v>0</v>
      </c>
      <c r="FP24" s="8">
        <v>0</v>
      </c>
      <c r="FQ24" s="6">
        <f t="shared" ref="FQ24:FQ32" si="383">(FG24/$V$4)*100</f>
        <v>57.056451612903224</v>
      </c>
      <c r="FR24" s="6">
        <f t="shared" ref="FR24" si="384">((FG24-FP24)/$FF$4)*100</f>
        <v>57.056451612903224</v>
      </c>
      <c r="FS24" s="18">
        <f t="shared" si="143"/>
        <v>74.912075029308326</v>
      </c>
      <c r="FT24" s="6">
        <f t="shared" ref="FT24:FT32" si="385">(FV24/($FF$4*FW24))*100</f>
        <v>16.1747311827957</v>
      </c>
      <c r="FU24" s="6">
        <f t="shared" ref="FU24:FU32" si="386">SUM(FH24:FJ24,FL24,FN24)</f>
        <v>744</v>
      </c>
      <c r="FV24" s="99">
        <v>6017</v>
      </c>
      <c r="FW24" s="8">
        <v>50</v>
      </c>
      <c r="FZ24" s="37" t="s">
        <v>47</v>
      </c>
      <c r="GA24" s="8">
        <v>710.1</v>
      </c>
      <c r="GB24" s="8">
        <v>523</v>
      </c>
      <c r="GC24" s="8">
        <v>187.1</v>
      </c>
      <c r="GD24" s="8">
        <v>9.9</v>
      </c>
      <c r="GE24" s="6">
        <f t="shared" ref="GE24:GE32" si="387">(GD24/$FZ$4)</f>
        <v>1.375E-2</v>
      </c>
      <c r="GF24" s="8">
        <v>0</v>
      </c>
      <c r="GG24" s="6">
        <f t="shared" ref="GG24:GG27" si="388">(GF24/$FZ$4)*100</f>
        <v>0</v>
      </c>
      <c r="GH24" s="6">
        <v>0</v>
      </c>
      <c r="GI24" s="6">
        <f t="shared" ref="GI24:GI32" si="389">(GH24/$FZ$4)*100</f>
        <v>0</v>
      </c>
      <c r="GJ24" s="8">
        <v>0</v>
      </c>
      <c r="GK24" s="6">
        <f t="shared" ref="GK24:GK32" si="390">(GA24/$V$4)*100</f>
        <v>95.443548387096783</v>
      </c>
      <c r="GL24" s="6">
        <f t="shared" si="145"/>
        <v>98.625</v>
      </c>
      <c r="GM24" s="18">
        <f t="shared" ref="GM24:GM27" si="391">IF((AND(GB24=0,GD24=0)),0,(GD24+GJ24)/(GB24+GD24)*100)</f>
        <v>1.8577594295364985</v>
      </c>
      <c r="GN24" s="6">
        <f t="shared" ref="GN24:GN32" si="392">(GP24/($FZ$4*GQ24))*100</f>
        <v>48.494444444444447</v>
      </c>
      <c r="GO24" s="6">
        <f t="shared" ref="GO24:GO32" si="393">SUM(GB24:GD24,GF24,GH24)</f>
        <v>720</v>
      </c>
      <c r="GP24" s="42">
        <v>17458</v>
      </c>
      <c r="GQ24" s="8">
        <v>50</v>
      </c>
      <c r="GT24" s="37" t="s">
        <v>47</v>
      </c>
      <c r="GU24" s="8">
        <v>744</v>
      </c>
      <c r="GV24" s="8">
        <v>374</v>
      </c>
      <c r="GW24" s="8">
        <v>370</v>
      </c>
      <c r="GX24" s="8">
        <v>0</v>
      </c>
      <c r="GY24" s="8">
        <f t="shared" si="338"/>
        <v>0</v>
      </c>
      <c r="GZ24" s="8">
        <v>0</v>
      </c>
      <c r="HA24" s="8">
        <f t="shared" si="338"/>
        <v>0</v>
      </c>
      <c r="HB24" s="8">
        <v>0</v>
      </c>
      <c r="HC24" s="6">
        <f t="shared" ref="HC24:HC32" si="394">(HB24/$GT$4)*100</f>
        <v>0</v>
      </c>
      <c r="HD24" s="8">
        <v>0</v>
      </c>
      <c r="HE24" s="6">
        <f t="shared" ref="HE24:HE32" si="395">(GU24/$GT$4)*100</f>
        <v>100</v>
      </c>
      <c r="HF24" s="6">
        <f t="shared" ref="HF24:HF63" si="396">((GU24-HD24)/$GT$4)*100</f>
        <v>100</v>
      </c>
      <c r="HG24" s="18">
        <f t="shared" ref="HG24:HG78" si="397">IF((AND(GV24=0,GX24=0)),0,(GX24+HD24)/(GV24+GX24)*100)</f>
        <v>0</v>
      </c>
      <c r="HH24" s="6">
        <f t="shared" ref="HH24:HH32" si="398">(HJ24/($GT$4*HK24))*100</f>
        <v>31.827956989247312</v>
      </c>
      <c r="HI24" s="6">
        <f t="shared" ref="HI24:HI32" si="399">SUM(GV24:GX24,GZ24,HB24)</f>
        <v>744</v>
      </c>
      <c r="HJ24" s="86">
        <v>11840</v>
      </c>
      <c r="HK24" s="8">
        <v>50</v>
      </c>
      <c r="HN24" s="37" t="s">
        <v>47</v>
      </c>
      <c r="HO24" s="52">
        <v>720</v>
      </c>
      <c r="HP24" s="52">
        <f>HN4-HQ24-HR24-HT24-HV24</f>
        <v>395</v>
      </c>
      <c r="HQ24" s="52">
        <v>325</v>
      </c>
      <c r="HR24" s="52">
        <v>0</v>
      </c>
      <c r="HS24" s="6">
        <f t="shared" ref="HS24:HS32" si="400">(HR24/$HN$4)*100</f>
        <v>0</v>
      </c>
      <c r="HT24" s="52">
        <v>0</v>
      </c>
      <c r="HU24" s="6">
        <f t="shared" ref="HU24:HU28" si="401">(HT24/$HN$4)*100</f>
        <v>0</v>
      </c>
      <c r="HV24" s="52">
        <v>0</v>
      </c>
      <c r="HW24" s="6">
        <f t="shared" ref="HW24:HW28" si="402">(HV24/$HN$4)*100</f>
        <v>0</v>
      </c>
      <c r="HX24" s="8">
        <v>0</v>
      </c>
      <c r="HY24" s="6">
        <f t="shared" ref="HY24:HY28" si="403">(HO24/$HN$4)*100</f>
        <v>100</v>
      </c>
      <c r="HZ24" s="6">
        <f t="shared" ref="HZ24:HZ32" si="404">((HO24-HX24)/$HN$4)*100</f>
        <v>100</v>
      </c>
      <c r="IA24" s="18">
        <f t="shared" ref="IA24:IA32" si="405">IF((AND(HP24=0,HR24=0)),0,(HR24+HX24)/(HP24+HR24)*100)</f>
        <v>0</v>
      </c>
      <c r="IB24" s="6">
        <f t="shared" ref="IB24:IB28" si="406">(ID24/($HN$4*IE24))*100</f>
        <v>38.477777777777774</v>
      </c>
      <c r="IC24" s="6">
        <f t="shared" ref="IC24:IC32" si="407">SUM(HP24:HR24,HT24,HV24)</f>
        <v>720</v>
      </c>
      <c r="ID24" s="54">
        <v>13852</v>
      </c>
      <c r="IE24" s="8">
        <v>50</v>
      </c>
      <c r="IF24" s="15">
        <v>50</v>
      </c>
    </row>
    <row r="25" spans="1:240" ht="14.25" x14ac:dyDescent="0.25">
      <c r="B25" s="37" t="s">
        <v>48</v>
      </c>
      <c r="C25" s="8">
        <v>735.5</v>
      </c>
      <c r="D25" s="8">
        <v>334</v>
      </c>
      <c r="E25" s="8">
        <v>401.5</v>
      </c>
      <c r="F25" s="8">
        <v>0</v>
      </c>
      <c r="G25" s="6">
        <f t="shared" si="339"/>
        <v>0</v>
      </c>
      <c r="H25" s="8">
        <v>0</v>
      </c>
      <c r="I25" s="6">
        <f t="shared" si="340"/>
        <v>0</v>
      </c>
      <c r="J25" s="6">
        <v>8.5</v>
      </c>
      <c r="K25" s="6">
        <f t="shared" si="341"/>
        <v>1.14247311827957</v>
      </c>
      <c r="L25" s="8">
        <v>0</v>
      </c>
      <c r="M25" s="6">
        <f>(C25/$B$4)*100</f>
        <v>98.857526881720432</v>
      </c>
      <c r="N25" s="6">
        <f t="shared" si="279"/>
        <v>98.857526881720432</v>
      </c>
      <c r="O25" s="6">
        <f t="shared" si="116"/>
        <v>0</v>
      </c>
      <c r="P25" s="6">
        <f t="shared" si="343"/>
        <v>34.322580645161288</v>
      </c>
      <c r="Q25" s="6">
        <f t="shared" si="344"/>
        <v>744</v>
      </c>
      <c r="R25" s="86">
        <v>12768</v>
      </c>
      <c r="S25" s="8">
        <v>50</v>
      </c>
      <c r="V25" s="37" t="s">
        <v>48</v>
      </c>
      <c r="W25" s="6">
        <f t="shared" si="345"/>
        <v>735.9</v>
      </c>
      <c r="X25" s="8">
        <v>607</v>
      </c>
      <c r="Y25" s="8">
        <v>128.9</v>
      </c>
      <c r="Z25" s="8">
        <v>8.1</v>
      </c>
      <c r="AA25" s="6">
        <f t="shared" si="117"/>
        <v>1.0887096774193548</v>
      </c>
      <c r="AB25" s="8">
        <v>0</v>
      </c>
      <c r="AC25" s="8">
        <f t="shared" si="118"/>
        <v>0</v>
      </c>
      <c r="AD25" s="8">
        <v>0</v>
      </c>
      <c r="AE25" s="6">
        <f t="shared" si="346"/>
        <v>0</v>
      </c>
      <c r="AF25" s="8">
        <v>0</v>
      </c>
      <c r="AG25" s="6">
        <f t="shared" si="347"/>
        <v>98.911290322580641</v>
      </c>
      <c r="AH25" s="6">
        <f t="shared" si="119"/>
        <v>98.911290322580641</v>
      </c>
      <c r="AI25" s="6">
        <f t="shared" si="120"/>
        <v>1.3168590473093804</v>
      </c>
      <c r="AJ25" s="6">
        <f t="shared" si="348"/>
        <v>73.534946236559136</v>
      </c>
      <c r="AK25" s="6">
        <f t="shared" si="349"/>
        <v>744</v>
      </c>
      <c r="AL25" s="86">
        <v>27355</v>
      </c>
      <c r="AM25" s="8">
        <v>50</v>
      </c>
      <c r="AP25" s="37" t="s">
        <v>48</v>
      </c>
      <c r="AQ25" s="8">
        <v>720</v>
      </c>
      <c r="AR25" s="8">
        <v>652</v>
      </c>
      <c r="AS25" s="8">
        <v>68</v>
      </c>
      <c r="AT25" s="8">
        <v>0</v>
      </c>
      <c r="AU25" s="8">
        <f t="shared" si="121"/>
        <v>0</v>
      </c>
      <c r="AV25" s="8">
        <v>0</v>
      </c>
      <c r="AW25" s="8">
        <f t="shared" si="122"/>
        <v>0</v>
      </c>
      <c r="AX25" s="8">
        <v>0</v>
      </c>
      <c r="AY25" s="6">
        <f t="shared" si="350"/>
        <v>0</v>
      </c>
      <c r="AZ25" s="8">
        <v>0</v>
      </c>
      <c r="BA25" s="6">
        <f t="shared" si="351"/>
        <v>100</v>
      </c>
      <c r="BB25" s="8">
        <f t="shared" si="123"/>
        <v>100</v>
      </c>
      <c r="BC25" s="15">
        <f t="shared" si="124"/>
        <v>0</v>
      </c>
      <c r="BD25" s="6">
        <f t="shared" si="352"/>
        <v>76.891666666666666</v>
      </c>
      <c r="BE25" s="6">
        <f t="shared" si="353"/>
        <v>720</v>
      </c>
      <c r="BF25" s="86">
        <v>27681</v>
      </c>
      <c r="BG25" s="8">
        <v>50</v>
      </c>
      <c r="BJ25" s="37" t="s">
        <v>48</v>
      </c>
      <c r="BK25" s="8">
        <v>734.3</v>
      </c>
      <c r="BL25" s="8">
        <v>667</v>
      </c>
      <c r="BM25" s="8">
        <v>67.3</v>
      </c>
      <c r="BN25" s="8">
        <v>9.6999999999999993</v>
      </c>
      <c r="BO25" s="6">
        <f t="shared" si="126"/>
        <v>1.303763440860215</v>
      </c>
      <c r="BP25" s="8">
        <v>0</v>
      </c>
      <c r="BQ25" s="8">
        <f t="shared" si="127"/>
        <v>0</v>
      </c>
      <c r="BR25" s="8">
        <v>0</v>
      </c>
      <c r="BS25" s="6">
        <f t="shared" si="354"/>
        <v>0</v>
      </c>
      <c r="BT25" s="8">
        <v>0</v>
      </c>
      <c r="BU25" s="6">
        <f t="shared" si="355"/>
        <v>98.696236559139777</v>
      </c>
      <c r="BV25" s="6">
        <f t="shared" si="128"/>
        <v>98.696236559139777</v>
      </c>
      <c r="BW25" s="6">
        <f t="shared" si="129"/>
        <v>1.4334269247820304</v>
      </c>
      <c r="BX25" s="6">
        <f t="shared" si="356"/>
        <v>82.825268817204304</v>
      </c>
      <c r="BY25" s="6">
        <f t="shared" si="357"/>
        <v>744</v>
      </c>
      <c r="BZ25" s="86">
        <v>30811</v>
      </c>
      <c r="CA25" s="8">
        <v>50</v>
      </c>
      <c r="CD25" s="37" t="s">
        <v>48</v>
      </c>
      <c r="CE25" s="8">
        <v>598.4</v>
      </c>
      <c r="CF25" s="8">
        <v>269</v>
      </c>
      <c r="CG25" s="8">
        <v>329.4</v>
      </c>
      <c r="CH25" s="8">
        <v>0</v>
      </c>
      <c r="CI25" s="6">
        <f t="shared" si="358"/>
        <v>0</v>
      </c>
      <c r="CJ25" s="8">
        <v>121.6</v>
      </c>
      <c r="CK25" s="6">
        <f t="shared" si="131"/>
        <v>16.888888888888889</v>
      </c>
      <c r="CL25" s="6">
        <v>0</v>
      </c>
      <c r="CM25" s="6">
        <f t="shared" si="359"/>
        <v>0</v>
      </c>
      <c r="CN25" s="8">
        <v>0</v>
      </c>
      <c r="CO25" s="6">
        <f t="shared" si="360"/>
        <v>83.111111111111114</v>
      </c>
      <c r="CP25" s="6">
        <f t="shared" si="132"/>
        <v>83.111111111111114</v>
      </c>
      <c r="CQ25" s="18">
        <f t="shared" si="361"/>
        <v>0</v>
      </c>
      <c r="CR25" s="6">
        <f t="shared" si="362"/>
        <v>28.480555555555554</v>
      </c>
      <c r="CS25" s="6">
        <f t="shared" si="363"/>
        <v>720</v>
      </c>
      <c r="CT25" s="42">
        <v>10253</v>
      </c>
      <c r="CU25" s="8">
        <v>50</v>
      </c>
      <c r="CX25" s="37" t="s">
        <v>48</v>
      </c>
      <c r="CY25" s="8">
        <v>731.5</v>
      </c>
      <c r="CZ25" s="8">
        <v>423</v>
      </c>
      <c r="DA25" s="8">
        <v>308.5</v>
      </c>
      <c r="DB25" s="8">
        <v>12.5</v>
      </c>
      <c r="DC25" s="6">
        <f t="shared" si="133"/>
        <v>1.6801075268817203</v>
      </c>
      <c r="DD25" s="8">
        <v>0</v>
      </c>
      <c r="DE25" s="6">
        <f t="shared" si="134"/>
        <v>0</v>
      </c>
      <c r="DF25" s="6">
        <v>0</v>
      </c>
      <c r="DG25" s="6">
        <f t="shared" si="364"/>
        <v>0</v>
      </c>
      <c r="DH25" s="8">
        <v>0</v>
      </c>
      <c r="DI25" s="6">
        <f t="shared" si="365"/>
        <v>98.319892473118273</v>
      </c>
      <c r="DJ25" s="6">
        <f t="shared" si="135"/>
        <v>98.319892473118273</v>
      </c>
      <c r="DK25" s="18">
        <f t="shared" si="136"/>
        <v>2.8702640642939152</v>
      </c>
      <c r="DL25" s="6">
        <f t="shared" si="366"/>
        <v>46.3494623655914</v>
      </c>
      <c r="DM25" s="6">
        <f t="shared" si="367"/>
        <v>744</v>
      </c>
      <c r="DN25" s="86">
        <v>17242</v>
      </c>
      <c r="DO25" s="8">
        <v>50</v>
      </c>
      <c r="DR25" s="37" t="s">
        <v>48</v>
      </c>
      <c r="DS25" s="8">
        <v>385.1</v>
      </c>
      <c r="DT25" s="8">
        <v>208</v>
      </c>
      <c r="DU25" s="8">
        <v>177.1</v>
      </c>
      <c r="DV25" s="8">
        <v>358.9</v>
      </c>
      <c r="DW25" s="6">
        <f t="shared" si="368"/>
        <v>48.239247311827953</v>
      </c>
      <c r="DX25" s="8">
        <v>0</v>
      </c>
      <c r="DY25" s="6">
        <f t="shared" si="369"/>
        <v>0</v>
      </c>
      <c r="DZ25" s="6">
        <v>0</v>
      </c>
      <c r="EA25" s="6">
        <f t="shared" si="370"/>
        <v>0</v>
      </c>
      <c r="EB25" s="8">
        <v>0</v>
      </c>
      <c r="EC25" s="6">
        <f t="shared" si="371"/>
        <v>51.760752688172055</v>
      </c>
      <c r="ED25" s="6">
        <f t="shared" si="372"/>
        <v>51.760752688172055</v>
      </c>
      <c r="EE25" s="18">
        <f t="shared" si="373"/>
        <v>63.309225612982885</v>
      </c>
      <c r="EF25" s="6">
        <f t="shared" si="374"/>
        <v>19.075268817204304</v>
      </c>
      <c r="EG25" s="6">
        <f t="shared" si="375"/>
        <v>744</v>
      </c>
      <c r="EH25" s="86">
        <v>7096</v>
      </c>
      <c r="EI25" s="8">
        <v>50</v>
      </c>
      <c r="EL25" s="37" t="s">
        <v>48</v>
      </c>
      <c r="EM25" s="8">
        <v>670.7</v>
      </c>
      <c r="EN25" s="8">
        <v>253</v>
      </c>
      <c r="EO25" s="8">
        <v>417.7</v>
      </c>
      <c r="EP25" s="100">
        <v>1.3</v>
      </c>
      <c r="EQ25" s="6">
        <f t="shared" si="140"/>
        <v>0.19345238095238096</v>
      </c>
      <c r="ER25" s="100">
        <v>0</v>
      </c>
      <c r="ES25" s="6">
        <f t="shared" si="141"/>
        <v>0</v>
      </c>
      <c r="ET25" s="6">
        <v>0</v>
      </c>
      <c r="EU25" s="6">
        <f t="shared" si="376"/>
        <v>0</v>
      </c>
      <c r="EV25" s="8">
        <v>0</v>
      </c>
      <c r="EW25" s="6">
        <f t="shared" si="377"/>
        <v>90.147849462365599</v>
      </c>
      <c r="EX25" s="6">
        <f t="shared" si="142"/>
        <v>99.80654761904762</v>
      </c>
      <c r="EY25" s="18">
        <f t="shared" si="378"/>
        <v>0.51120723554856462</v>
      </c>
      <c r="EZ25" s="6">
        <f t="shared" si="379"/>
        <v>30.077380952380949</v>
      </c>
      <c r="FA25" s="6">
        <f t="shared" si="380"/>
        <v>672</v>
      </c>
      <c r="FB25" s="42">
        <v>10106</v>
      </c>
      <c r="FC25" s="8">
        <v>50</v>
      </c>
      <c r="FF25" s="37" t="s">
        <v>48</v>
      </c>
      <c r="FG25" s="21">
        <v>744</v>
      </c>
      <c r="FH25" s="100">
        <v>441</v>
      </c>
      <c r="FI25" s="100">
        <v>303</v>
      </c>
      <c r="FJ25" s="8">
        <v>0</v>
      </c>
      <c r="FK25" s="6">
        <f>(FJ25/$FF$4)*100</f>
        <v>0</v>
      </c>
      <c r="FL25" s="8">
        <v>0</v>
      </c>
      <c r="FM25" s="6">
        <f>(FL25/$FF$4)*100</f>
        <v>0</v>
      </c>
      <c r="FN25" s="6">
        <v>0</v>
      </c>
      <c r="FO25" s="6">
        <f t="shared" si="382"/>
        <v>0</v>
      </c>
      <c r="FP25" s="8">
        <v>0</v>
      </c>
      <c r="FQ25" s="6">
        <f t="shared" si="383"/>
        <v>100</v>
      </c>
      <c r="FR25" s="6">
        <f>((FG25-FP25)/$FF$4)*100</f>
        <v>100</v>
      </c>
      <c r="FS25" s="18">
        <f t="shared" si="143"/>
        <v>0</v>
      </c>
      <c r="FT25" s="6">
        <f t="shared" si="385"/>
        <v>28.306451612903228</v>
      </c>
      <c r="FU25" s="6">
        <f t="shared" si="386"/>
        <v>744</v>
      </c>
      <c r="FV25" s="101">
        <v>10530</v>
      </c>
      <c r="FW25" s="8">
        <v>50</v>
      </c>
      <c r="FZ25" s="37" t="s">
        <v>48</v>
      </c>
      <c r="GA25" s="8">
        <v>703.7</v>
      </c>
      <c r="GB25" s="8">
        <v>486</v>
      </c>
      <c r="GC25" s="8">
        <v>217.7</v>
      </c>
      <c r="GD25" s="8">
        <v>16.3</v>
      </c>
      <c r="GE25" s="6">
        <f t="shared" si="387"/>
        <v>2.2638888888888889E-2</v>
      </c>
      <c r="GF25" s="8">
        <v>0</v>
      </c>
      <c r="GG25" s="6">
        <f t="shared" si="388"/>
        <v>0</v>
      </c>
      <c r="GH25" s="6">
        <v>0</v>
      </c>
      <c r="GI25" s="6">
        <f t="shared" si="389"/>
        <v>0</v>
      </c>
      <c r="GJ25" s="8">
        <v>0</v>
      </c>
      <c r="GK25" s="6">
        <f t="shared" si="390"/>
        <v>94.583333333333343</v>
      </c>
      <c r="GL25" s="6">
        <f t="shared" si="145"/>
        <v>97.736111111111114</v>
      </c>
      <c r="GM25" s="18">
        <f t="shared" si="391"/>
        <v>3.2450726657376068</v>
      </c>
      <c r="GN25" s="6">
        <f t="shared" si="392"/>
        <v>43.105555555555561</v>
      </c>
      <c r="GO25" s="6">
        <f t="shared" si="393"/>
        <v>720</v>
      </c>
      <c r="GP25" s="42">
        <v>15518</v>
      </c>
      <c r="GQ25" s="8">
        <v>50</v>
      </c>
      <c r="GT25" s="37" t="s">
        <v>48</v>
      </c>
      <c r="GU25" s="8">
        <v>676.2</v>
      </c>
      <c r="GV25" s="8">
        <v>236</v>
      </c>
      <c r="GW25" s="8">
        <v>440.2</v>
      </c>
      <c r="GX25" s="8">
        <v>0</v>
      </c>
      <c r="GY25" s="8">
        <f t="shared" si="338"/>
        <v>0</v>
      </c>
      <c r="GZ25" s="8">
        <v>58.3</v>
      </c>
      <c r="HA25" s="6">
        <f t="shared" si="338"/>
        <v>7.8360215053763431</v>
      </c>
      <c r="HB25" s="6">
        <v>9.5</v>
      </c>
      <c r="HC25" s="6">
        <f t="shared" si="394"/>
        <v>1.2768817204301075</v>
      </c>
      <c r="HD25" s="8">
        <v>0</v>
      </c>
      <c r="HE25" s="6">
        <f t="shared" si="395"/>
        <v>90.887096774193552</v>
      </c>
      <c r="HF25" s="6">
        <f t="shared" si="396"/>
        <v>90.887096774193552</v>
      </c>
      <c r="HG25" s="18">
        <f t="shared" si="397"/>
        <v>0</v>
      </c>
      <c r="HH25" s="6">
        <f t="shared" si="398"/>
        <v>19.252688172043012</v>
      </c>
      <c r="HI25" s="6">
        <f t="shared" si="399"/>
        <v>744</v>
      </c>
      <c r="HJ25" s="86">
        <v>7162</v>
      </c>
      <c r="HK25" s="8">
        <v>50</v>
      </c>
      <c r="HN25" s="37" t="s">
        <v>48</v>
      </c>
      <c r="HO25" s="52">
        <v>696.7</v>
      </c>
      <c r="HP25" s="52">
        <v>298</v>
      </c>
      <c r="HQ25" s="52">
        <v>398.7</v>
      </c>
      <c r="HR25" s="52">
        <v>23.3</v>
      </c>
      <c r="HS25" s="6">
        <f t="shared" si="400"/>
        <v>3.2361111111111112</v>
      </c>
      <c r="HT25" s="52">
        <v>0</v>
      </c>
      <c r="HU25" s="6">
        <f t="shared" si="401"/>
        <v>0</v>
      </c>
      <c r="HV25" s="52">
        <v>0</v>
      </c>
      <c r="HW25" s="6">
        <f t="shared" si="402"/>
        <v>0</v>
      </c>
      <c r="HX25" s="8">
        <v>0</v>
      </c>
      <c r="HY25" s="6">
        <f t="shared" si="403"/>
        <v>96.7638888888889</v>
      </c>
      <c r="HZ25" s="6">
        <f t="shared" si="404"/>
        <v>96.7638888888889</v>
      </c>
      <c r="IA25" s="18">
        <f t="shared" si="405"/>
        <v>7.2517896047307806</v>
      </c>
      <c r="IB25" s="6">
        <f t="shared" si="406"/>
        <v>26.980555555555558</v>
      </c>
      <c r="IC25" s="6">
        <f t="shared" si="407"/>
        <v>720</v>
      </c>
      <c r="ID25" s="54">
        <v>9713</v>
      </c>
      <c r="IE25" s="8">
        <v>50</v>
      </c>
      <c r="IF25" s="15">
        <v>50</v>
      </c>
    </row>
    <row r="26" spans="1:240" ht="14.25" x14ac:dyDescent="0.25">
      <c r="B26" s="37" t="s">
        <v>49</v>
      </c>
      <c r="C26" s="8">
        <v>0</v>
      </c>
      <c r="D26" s="8">
        <v>0</v>
      </c>
      <c r="E26" s="8">
        <v>0</v>
      </c>
      <c r="F26" s="8">
        <v>0</v>
      </c>
      <c r="G26" s="6">
        <f t="shared" si="339"/>
        <v>0</v>
      </c>
      <c r="H26" s="8">
        <v>744</v>
      </c>
      <c r="I26" s="6">
        <f t="shared" si="340"/>
        <v>100</v>
      </c>
      <c r="J26" s="6">
        <v>0</v>
      </c>
      <c r="K26" s="6">
        <f t="shared" si="341"/>
        <v>0</v>
      </c>
      <c r="L26" s="8">
        <v>0</v>
      </c>
      <c r="M26" s="6">
        <f t="shared" ref="M26" si="408">(C26/$B$4)*100</f>
        <v>0</v>
      </c>
      <c r="N26" s="6">
        <f t="shared" si="279"/>
        <v>0</v>
      </c>
      <c r="O26" s="6">
        <f t="shared" si="116"/>
        <v>0</v>
      </c>
      <c r="P26" s="6">
        <f t="shared" si="343"/>
        <v>0</v>
      </c>
      <c r="Q26" s="6">
        <f t="shared" si="344"/>
        <v>744</v>
      </c>
      <c r="R26" s="8">
        <v>0</v>
      </c>
      <c r="S26" s="8">
        <v>50</v>
      </c>
      <c r="V26" s="37" t="s">
        <v>49</v>
      </c>
      <c r="W26" s="6">
        <f>$V$4-Z26-AB26-AD26</f>
        <v>0</v>
      </c>
      <c r="X26" s="8">
        <v>0</v>
      </c>
      <c r="Y26" s="8">
        <v>0</v>
      </c>
      <c r="Z26" s="8">
        <v>0</v>
      </c>
      <c r="AA26" s="8">
        <f t="shared" si="117"/>
        <v>0</v>
      </c>
      <c r="AB26" s="8">
        <v>744</v>
      </c>
      <c r="AC26" s="8">
        <f t="shared" si="118"/>
        <v>100</v>
      </c>
      <c r="AD26" s="8">
        <v>0</v>
      </c>
      <c r="AE26" s="6">
        <f t="shared" si="346"/>
        <v>0</v>
      </c>
      <c r="AF26" s="8">
        <v>0</v>
      </c>
      <c r="AG26" s="6">
        <f t="shared" si="347"/>
        <v>0</v>
      </c>
      <c r="AH26" s="8">
        <f t="shared" si="119"/>
        <v>0</v>
      </c>
      <c r="AI26" s="15">
        <f t="shared" si="120"/>
        <v>0</v>
      </c>
      <c r="AJ26" s="6">
        <f t="shared" si="348"/>
        <v>0</v>
      </c>
      <c r="AK26" s="6">
        <f t="shared" si="349"/>
        <v>744</v>
      </c>
      <c r="AL26" s="8">
        <v>0</v>
      </c>
      <c r="AM26" s="8">
        <v>50</v>
      </c>
      <c r="AP26" s="37" t="s">
        <v>49</v>
      </c>
      <c r="AQ26" s="8">
        <v>0</v>
      </c>
      <c r="AR26" s="8">
        <v>0</v>
      </c>
      <c r="AS26" s="8">
        <v>0</v>
      </c>
      <c r="AT26" s="8">
        <v>0</v>
      </c>
      <c r="AU26" s="8">
        <f t="shared" si="121"/>
        <v>0</v>
      </c>
      <c r="AV26" s="8">
        <v>720</v>
      </c>
      <c r="AW26" s="8">
        <f t="shared" si="122"/>
        <v>100</v>
      </c>
      <c r="AX26" s="8">
        <v>0</v>
      </c>
      <c r="AY26" s="6">
        <f t="shared" si="350"/>
        <v>0</v>
      </c>
      <c r="AZ26" s="8">
        <v>0</v>
      </c>
      <c r="BA26" s="6">
        <f t="shared" si="351"/>
        <v>0</v>
      </c>
      <c r="BB26" s="8">
        <f t="shared" si="123"/>
        <v>0</v>
      </c>
      <c r="BC26" s="15">
        <f t="shared" si="124"/>
        <v>0</v>
      </c>
      <c r="BD26" s="6">
        <f t="shared" si="352"/>
        <v>0</v>
      </c>
      <c r="BE26" s="6">
        <f t="shared" si="353"/>
        <v>720</v>
      </c>
      <c r="BF26" s="8">
        <v>0</v>
      </c>
      <c r="BG26" s="8">
        <v>50</v>
      </c>
      <c r="BJ26" s="37" t="s">
        <v>49</v>
      </c>
      <c r="BK26" s="8">
        <v>0</v>
      </c>
      <c r="BL26" s="8">
        <v>0</v>
      </c>
      <c r="BM26" s="8">
        <v>0</v>
      </c>
      <c r="BN26" s="8">
        <v>0</v>
      </c>
      <c r="BO26" s="15">
        <f t="shared" si="126"/>
        <v>0</v>
      </c>
      <c r="BP26" s="8">
        <v>744</v>
      </c>
      <c r="BQ26" s="8">
        <f t="shared" si="127"/>
        <v>100</v>
      </c>
      <c r="BR26" s="8">
        <v>0</v>
      </c>
      <c r="BS26" s="6">
        <f t="shared" si="354"/>
        <v>0</v>
      </c>
      <c r="BT26" s="8">
        <v>0</v>
      </c>
      <c r="BU26" s="6">
        <f t="shared" si="355"/>
        <v>0</v>
      </c>
      <c r="BV26" s="6">
        <f t="shared" si="128"/>
        <v>0</v>
      </c>
      <c r="BW26" s="6">
        <f t="shared" si="129"/>
        <v>0</v>
      </c>
      <c r="BX26" s="6">
        <f t="shared" si="356"/>
        <v>0</v>
      </c>
      <c r="BY26" s="6">
        <f t="shared" si="357"/>
        <v>744</v>
      </c>
      <c r="BZ26" s="8">
        <v>0</v>
      </c>
      <c r="CA26" s="8">
        <v>50</v>
      </c>
      <c r="CD26" s="37" t="s">
        <v>49</v>
      </c>
      <c r="CE26" s="8">
        <v>0</v>
      </c>
      <c r="CF26" s="8">
        <v>0</v>
      </c>
      <c r="CG26" s="8">
        <v>0</v>
      </c>
      <c r="CH26" s="8">
        <v>0</v>
      </c>
      <c r="CI26" s="6">
        <f t="shared" si="358"/>
        <v>0</v>
      </c>
      <c r="CJ26" s="8">
        <v>720</v>
      </c>
      <c r="CK26" s="6">
        <f t="shared" si="131"/>
        <v>100</v>
      </c>
      <c r="CL26" s="6">
        <v>0</v>
      </c>
      <c r="CM26" s="6">
        <f t="shared" si="359"/>
        <v>0</v>
      </c>
      <c r="CN26" s="8">
        <v>0</v>
      </c>
      <c r="CO26" s="6">
        <f t="shared" si="360"/>
        <v>0</v>
      </c>
      <c r="CP26" s="6">
        <f t="shared" si="132"/>
        <v>0</v>
      </c>
      <c r="CQ26" s="18">
        <f t="shared" si="361"/>
        <v>0</v>
      </c>
      <c r="CR26" s="6">
        <f t="shared" si="362"/>
        <v>0</v>
      </c>
      <c r="CS26" s="6">
        <f t="shared" si="363"/>
        <v>720</v>
      </c>
      <c r="CT26" s="8">
        <v>0</v>
      </c>
      <c r="CU26" s="8">
        <v>50</v>
      </c>
      <c r="CX26" s="37" t="s">
        <v>49</v>
      </c>
      <c r="CY26" s="8">
        <v>0</v>
      </c>
      <c r="CZ26" s="8">
        <v>0</v>
      </c>
      <c r="DA26" s="8">
        <v>0</v>
      </c>
      <c r="DB26" s="8">
        <v>0</v>
      </c>
      <c r="DC26" s="6">
        <f t="shared" si="133"/>
        <v>0</v>
      </c>
      <c r="DD26" s="8">
        <v>744</v>
      </c>
      <c r="DE26" s="6">
        <f t="shared" si="134"/>
        <v>100</v>
      </c>
      <c r="DF26" s="6">
        <v>0</v>
      </c>
      <c r="DG26" s="6">
        <f t="shared" si="364"/>
        <v>0</v>
      </c>
      <c r="DH26" s="8">
        <v>0</v>
      </c>
      <c r="DI26" s="6">
        <f t="shared" si="365"/>
        <v>0</v>
      </c>
      <c r="DJ26" s="6">
        <f t="shared" si="135"/>
        <v>0</v>
      </c>
      <c r="DK26" s="18">
        <f t="shared" si="136"/>
        <v>0</v>
      </c>
      <c r="DL26" s="6">
        <f t="shared" si="366"/>
        <v>0</v>
      </c>
      <c r="DM26" s="6">
        <f t="shared" si="367"/>
        <v>744</v>
      </c>
      <c r="DN26" s="8">
        <v>0</v>
      </c>
      <c r="DO26" s="8">
        <v>50</v>
      </c>
      <c r="DR26" s="37" t="s">
        <v>49</v>
      </c>
      <c r="DS26" s="8">
        <v>0</v>
      </c>
      <c r="DT26" s="8">
        <v>0</v>
      </c>
      <c r="DU26" s="8">
        <v>0</v>
      </c>
      <c r="DV26" s="8">
        <v>0</v>
      </c>
      <c r="DW26" s="6">
        <f t="shared" si="368"/>
        <v>0</v>
      </c>
      <c r="DX26" s="8">
        <v>744</v>
      </c>
      <c r="DY26" s="6">
        <f t="shared" si="369"/>
        <v>100</v>
      </c>
      <c r="DZ26" s="6">
        <v>0</v>
      </c>
      <c r="EA26" s="6">
        <f t="shared" si="370"/>
        <v>0</v>
      </c>
      <c r="EB26" s="8">
        <v>0</v>
      </c>
      <c r="EC26" s="6">
        <f t="shared" si="371"/>
        <v>0</v>
      </c>
      <c r="ED26" s="6">
        <f t="shared" si="372"/>
        <v>0</v>
      </c>
      <c r="EE26" s="18">
        <f t="shared" si="373"/>
        <v>0</v>
      </c>
      <c r="EF26" s="6">
        <f t="shared" si="374"/>
        <v>0</v>
      </c>
      <c r="EG26" s="6">
        <f t="shared" si="375"/>
        <v>744</v>
      </c>
      <c r="EH26" s="8">
        <v>0</v>
      </c>
      <c r="EI26" s="8">
        <v>50</v>
      </c>
      <c r="EL26" s="37" t="s">
        <v>49</v>
      </c>
      <c r="EM26" s="8">
        <v>0</v>
      </c>
      <c r="EN26" s="8">
        <v>0</v>
      </c>
      <c r="EO26" s="8">
        <v>0</v>
      </c>
      <c r="EP26" s="100">
        <v>0</v>
      </c>
      <c r="EQ26" s="6">
        <f t="shared" si="140"/>
        <v>0</v>
      </c>
      <c r="ER26" s="100">
        <v>672</v>
      </c>
      <c r="ES26" s="6">
        <f t="shared" si="141"/>
        <v>100</v>
      </c>
      <c r="ET26" s="6">
        <v>0</v>
      </c>
      <c r="EU26" s="6">
        <f t="shared" si="376"/>
        <v>0</v>
      </c>
      <c r="EV26" s="8">
        <v>0</v>
      </c>
      <c r="EW26" s="6">
        <f t="shared" si="377"/>
        <v>0</v>
      </c>
      <c r="EX26" s="6">
        <f t="shared" si="142"/>
        <v>0</v>
      </c>
      <c r="EY26" s="18">
        <f t="shared" si="378"/>
        <v>0</v>
      </c>
      <c r="EZ26" s="6">
        <f t="shared" si="379"/>
        <v>0</v>
      </c>
      <c r="FA26" s="6">
        <f t="shared" si="380"/>
        <v>672</v>
      </c>
      <c r="FB26" s="8">
        <v>0</v>
      </c>
      <c r="FC26" s="8">
        <v>50</v>
      </c>
      <c r="FF26" s="37" t="s">
        <v>49</v>
      </c>
      <c r="FG26" s="21">
        <v>0</v>
      </c>
      <c r="FH26" s="100">
        <v>0</v>
      </c>
      <c r="FI26" s="100">
        <v>0</v>
      </c>
      <c r="FJ26" s="8">
        <v>0</v>
      </c>
      <c r="FK26" s="6">
        <f t="shared" ref="FK26:FM27" si="409">(FJ26/$FF$4)*100</f>
        <v>0</v>
      </c>
      <c r="FL26" s="8">
        <v>744</v>
      </c>
      <c r="FM26" s="6">
        <f t="shared" si="409"/>
        <v>100</v>
      </c>
      <c r="FN26" s="6">
        <v>0</v>
      </c>
      <c r="FO26" s="6">
        <f t="shared" si="382"/>
        <v>0</v>
      </c>
      <c r="FP26" s="8">
        <v>0</v>
      </c>
      <c r="FQ26" s="6">
        <f t="shared" si="383"/>
        <v>0</v>
      </c>
      <c r="FR26" s="6">
        <f t="shared" ref="FR26:FR27" si="410">((FG26-FP26)/$FF$4)*100</f>
        <v>0</v>
      </c>
      <c r="FS26" s="18">
        <f t="shared" si="143"/>
        <v>0</v>
      </c>
      <c r="FT26" s="6">
        <f t="shared" si="385"/>
        <v>0</v>
      </c>
      <c r="FU26" s="6">
        <f t="shared" si="386"/>
        <v>744</v>
      </c>
      <c r="FV26" s="8">
        <v>0</v>
      </c>
      <c r="FW26" s="8">
        <v>50</v>
      </c>
      <c r="FZ26" s="37" t="s">
        <v>49</v>
      </c>
      <c r="GA26" s="8">
        <v>0</v>
      </c>
      <c r="GB26" s="8">
        <v>0</v>
      </c>
      <c r="GC26" s="8">
        <v>0</v>
      </c>
      <c r="GD26" s="8">
        <v>0</v>
      </c>
      <c r="GE26" s="6">
        <f t="shared" si="387"/>
        <v>0</v>
      </c>
      <c r="GF26" s="8">
        <v>720</v>
      </c>
      <c r="GG26" s="6">
        <f t="shared" si="388"/>
        <v>100</v>
      </c>
      <c r="GH26" s="6">
        <v>0</v>
      </c>
      <c r="GI26" s="6">
        <f t="shared" si="389"/>
        <v>0</v>
      </c>
      <c r="GJ26" s="8">
        <v>0</v>
      </c>
      <c r="GK26" s="6">
        <f t="shared" si="390"/>
        <v>0</v>
      </c>
      <c r="GL26" s="6">
        <f t="shared" si="145"/>
        <v>0</v>
      </c>
      <c r="GM26" s="18">
        <f t="shared" si="391"/>
        <v>0</v>
      </c>
      <c r="GN26" s="6">
        <f t="shared" si="392"/>
        <v>0</v>
      </c>
      <c r="GO26" s="6">
        <f t="shared" si="393"/>
        <v>720</v>
      </c>
      <c r="GP26" s="8">
        <v>0</v>
      </c>
      <c r="GQ26" s="8">
        <v>50</v>
      </c>
      <c r="GT26" s="37" t="s">
        <v>49</v>
      </c>
      <c r="GU26" s="8">
        <v>0</v>
      </c>
      <c r="GV26" s="8">
        <v>0</v>
      </c>
      <c r="GW26" s="8">
        <v>0</v>
      </c>
      <c r="GX26" s="8">
        <v>0</v>
      </c>
      <c r="GY26" s="8">
        <f t="shared" si="338"/>
        <v>0</v>
      </c>
      <c r="GZ26" s="8">
        <v>744</v>
      </c>
      <c r="HA26" s="8">
        <f t="shared" si="338"/>
        <v>100</v>
      </c>
      <c r="HB26" s="8">
        <v>0</v>
      </c>
      <c r="HC26" s="6">
        <f t="shared" si="394"/>
        <v>0</v>
      </c>
      <c r="HD26" s="8">
        <v>0</v>
      </c>
      <c r="HE26" s="6">
        <f t="shared" si="395"/>
        <v>0</v>
      </c>
      <c r="HF26" s="6">
        <f t="shared" si="396"/>
        <v>0</v>
      </c>
      <c r="HG26" s="18">
        <f t="shared" si="397"/>
        <v>0</v>
      </c>
      <c r="HH26" s="6">
        <f t="shared" si="398"/>
        <v>0</v>
      </c>
      <c r="HI26" s="6">
        <f t="shared" si="399"/>
        <v>744</v>
      </c>
      <c r="HJ26" s="8">
        <v>0</v>
      </c>
      <c r="HK26" s="8">
        <v>50</v>
      </c>
      <c r="HN26" s="37" t="s">
        <v>49</v>
      </c>
      <c r="HO26" s="52">
        <v>0</v>
      </c>
      <c r="HP26" s="52">
        <v>0</v>
      </c>
      <c r="HQ26" s="52">
        <v>0</v>
      </c>
      <c r="HR26" s="52">
        <v>0</v>
      </c>
      <c r="HS26" s="6">
        <f t="shared" si="400"/>
        <v>0</v>
      </c>
      <c r="HT26" s="52">
        <v>720</v>
      </c>
      <c r="HU26" s="6">
        <f t="shared" si="401"/>
        <v>100</v>
      </c>
      <c r="HV26" s="52">
        <v>0</v>
      </c>
      <c r="HW26" s="6">
        <f t="shared" si="402"/>
        <v>0</v>
      </c>
      <c r="HX26" s="8">
        <v>0</v>
      </c>
      <c r="HY26" s="6">
        <f t="shared" si="403"/>
        <v>0</v>
      </c>
      <c r="HZ26" s="6">
        <f t="shared" si="404"/>
        <v>0</v>
      </c>
      <c r="IA26" s="18">
        <f t="shared" si="405"/>
        <v>0</v>
      </c>
      <c r="IB26" s="6">
        <f t="shared" si="406"/>
        <v>0</v>
      </c>
      <c r="IC26" s="6">
        <f t="shared" si="407"/>
        <v>720</v>
      </c>
      <c r="ID26" s="54">
        <v>0</v>
      </c>
      <c r="IE26" s="8">
        <v>50</v>
      </c>
      <c r="IF26" s="15">
        <v>0</v>
      </c>
    </row>
    <row r="27" spans="1:240" ht="14.25" x14ac:dyDescent="0.25">
      <c r="B27" s="37" t="s">
        <v>50</v>
      </c>
      <c r="C27" s="8">
        <v>705.9</v>
      </c>
      <c r="D27" s="8">
        <v>203</v>
      </c>
      <c r="E27" s="8">
        <v>502.9</v>
      </c>
      <c r="F27" s="8">
        <v>29.6</v>
      </c>
      <c r="G27" s="6">
        <f t="shared" si="339"/>
        <v>3.978494623655914</v>
      </c>
      <c r="H27" s="8">
        <v>0</v>
      </c>
      <c r="I27" s="6">
        <f t="shared" si="340"/>
        <v>0</v>
      </c>
      <c r="J27" s="6">
        <v>8.5</v>
      </c>
      <c r="K27" s="6">
        <f t="shared" si="341"/>
        <v>1.14247311827957</v>
      </c>
      <c r="L27" s="8">
        <v>0</v>
      </c>
      <c r="M27" s="6">
        <f>(C27/$B$4)*100</f>
        <v>94.879032258064512</v>
      </c>
      <c r="N27" s="6">
        <f t="shared" si="279"/>
        <v>94.879032258064512</v>
      </c>
      <c r="O27" s="6">
        <f t="shared" si="116"/>
        <v>12.725709372312984</v>
      </c>
      <c r="P27" s="6">
        <f t="shared" si="343"/>
        <v>16.841397849462368</v>
      </c>
      <c r="Q27" s="6">
        <f t="shared" si="344"/>
        <v>744</v>
      </c>
      <c r="R27" s="86">
        <v>6265</v>
      </c>
      <c r="S27" s="8">
        <v>50</v>
      </c>
      <c r="V27" s="37" t="s">
        <v>50</v>
      </c>
      <c r="W27" s="6">
        <f t="shared" si="345"/>
        <v>744</v>
      </c>
      <c r="X27" s="8">
        <v>398</v>
      </c>
      <c r="Y27" s="8">
        <v>346</v>
      </c>
      <c r="Z27" s="8">
        <v>0</v>
      </c>
      <c r="AA27" s="8">
        <f t="shared" si="117"/>
        <v>0</v>
      </c>
      <c r="AB27" s="8">
        <v>0</v>
      </c>
      <c r="AC27" s="8">
        <f t="shared" si="118"/>
        <v>0</v>
      </c>
      <c r="AD27" s="8">
        <v>0</v>
      </c>
      <c r="AE27" s="6">
        <f t="shared" si="346"/>
        <v>0</v>
      </c>
      <c r="AF27" s="8">
        <v>0</v>
      </c>
      <c r="AG27" s="6">
        <f t="shared" si="347"/>
        <v>100</v>
      </c>
      <c r="AH27" s="8">
        <f t="shared" si="119"/>
        <v>100</v>
      </c>
      <c r="AI27" s="15">
        <f t="shared" si="120"/>
        <v>0</v>
      </c>
      <c r="AJ27" s="6">
        <f t="shared" si="348"/>
        <v>35.943548387096776</v>
      </c>
      <c r="AK27" s="6">
        <f t="shared" si="349"/>
        <v>744</v>
      </c>
      <c r="AL27" s="86">
        <v>13371</v>
      </c>
      <c r="AM27" s="8">
        <v>50</v>
      </c>
      <c r="AP27" s="37" t="s">
        <v>50</v>
      </c>
      <c r="AQ27" s="8">
        <v>720</v>
      </c>
      <c r="AR27" s="8">
        <v>338</v>
      </c>
      <c r="AS27" s="8">
        <v>382</v>
      </c>
      <c r="AT27" s="8">
        <v>0</v>
      </c>
      <c r="AU27" s="8">
        <f t="shared" si="121"/>
        <v>0</v>
      </c>
      <c r="AV27" s="8">
        <v>0</v>
      </c>
      <c r="AW27" s="8">
        <f t="shared" si="122"/>
        <v>0</v>
      </c>
      <c r="AX27" s="8">
        <v>0</v>
      </c>
      <c r="AY27" s="6">
        <f t="shared" si="350"/>
        <v>0</v>
      </c>
      <c r="AZ27" s="8">
        <v>0</v>
      </c>
      <c r="BA27" s="6">
        <f t="shared" si="351"/>
        <v>100</v>
      </c>
      <c r="BB27" s="8">
        <f t="shared" si="123"/>
        <v>100</v>
      </c>
      <c r="BC27" s="15">
        <f t="shared" si="124"/>
        <v>0</v>
      </c>
      <c r="BD27" s="6">
        <f>(BF27/($AP$4*BG27))*100</f>
        <v>32.338888888888889</v>
      </c>
      <c r="BE27" s="6">
        <f t="shared" si="353"/>
        <v>720</v>
      </c>
      <c r="BF27" s="86">
        <v>11642</v>
      </c>
      <c r="BG27" s="8">
        <v>50</v>
      </c>
      <c r="BJ27" s="37" t="s">
        <v>50</v>
      </c>
      <c r="BK27" s="8">
        <v>744</v>
      </c>
      <c r="BL27" s="8">
        <v>427</v>
      </c>
      <c r="BM27" s="8">
        <v>317</v>
      </c>
      <c r="BN27" s="8">
        <v>0</v>
      </c>
      <c r="BO27" s="15">
        <f t="shared" si="126"/>
        <v>0</v>
      </c>
      <c r="BP27" s="8">
        <v>0</v>
      </c>
      <c r="BQ27" s="8">
        <f t="shared" si="127"/>
        <v>0</v>
      </c>
      <c r="BR27" s="8">
        <v>0</v>
      </c>
      <c r="BS27" s="6">
        <f t="shared" si="354"/>
        <v>0</v>
      </c>
      <c r="BT27" s="8">
        <v>0</v>
      </c>
      <c r="BU27" s="6">
        <f t="shared" si="355"/>
        <v>100</v>
      </c>
      <c r="BV27" s="6">
        <f t="shared" si="128"/>
        <v>100</v>
      </c>
      <c r="BW27" s="6">
        <f t="shared" si="129"/>
        <v>0</v>
      </c>
      <c r="BX27" s="6">
        <f t="shared" si="356"/>
        <v>37.161290322580648</v>
      </c>
      <c r="BY27" s="6">
        <f t="shared" si="357"/>
        <v>744</v>
      </c>
      <c r="BZ27" s="86">
        <v>13824</v>
      </c>
      <c r="CA27" s="8">
        <v>50</v>
      </c>
      <c r="CD27" s="37" t="s">
        <v>50</v>
      </c>
      <c r="CE27" s="8">
        <v>578.79999999999995</v>
      </c>
      <c r="CF27" s="8">
        <v>162</v>
      </c>
      <c r="CG27" s="8">
        <v>416.8</v>
      </c>
      <c r="CH27" s="8">
        <v>141.19999999999999</v>
      </c>
      <c r="CI27" s="6">
        <f t="shared" si="358"/>
        <v>19.611111111111111</v>
      </c>
      <c r="CJ27" s="8">
        <v>0</v>
      </c>
      <c r="CK27" s="6">
        <f t="shared" si="131"/>
        <v>0</v>
      </c>
      <c r="CL27" s="6">
        <v>0</v>
      </c>
      <c r="CM27" s="6">
        <f t="shared" si="359"/>
        <v>0</v>
      </c>
      <c r="CN27" s="8">
        <v>0</v>
      </c>
      <c r="CO27" s="6">
        <f t="shared" si="360"/>
        <v>80.388888888888886</v>
      </c>
      <c r="CP27" s="6">
        <f t="shared" si="132"/>
        <v>80.388888888888886</v>
      </c>
      <c r="CQ27" s="18">
        <f t="shared" si="361"/>
        <v>46.569920844327171</v>
      </c>
      <c r="CR27" s="6">
        <f t="shared" si="362"/>
        <v>13.763888888888889</v>
      </c>
      <c r="CS27" s="6">
        <f t="shared" si="363"/>
        <v>720</v>
      </c>
      <c r="CT27" s="42">
        <v>4955</v>
      </c>
      <c r="CU27" s="8">
        <v>50</v>
      </c>
      <c r="CX27" s="37" t="s">
        <v>50</v>
      </c>
      <c r="CY27" s="8">
        <v>724.9</v>
      </c>
      <c r="CZ27" s="8">
        <v>218</v>
      </c>
      <c r="DA27" s="8">
        <v>506.9</v>
      </c>
      <c r="DB27" s="8">
        <v>19.100000000000001</v>
      </c>
      <c r="DC27" s="6">
        <f t="shared" si="133"/>
        <v>2.567204301075269</v>
      </c>
      <c r="DD27" s="8">
        <v>0</v>
      </c>
      <c r="DE27" s="6">
        <f t="shared" si="134"/>
        <v>0</v>
      </c>
      <c r="DF27" s="6">
        <v>0</v>
      </c>
      <c r="DG27" s="6">
        <f t="shared" si="364"/>
        <v>0</v>
      </c>
      <c r="DH27" s="8">
        <v>0</v>
      </c>
      <c r="DI27" s="6">
        <f t="shared" si="365"/>
        <v>97.432795698924721</v>
      </c>
      <c r="DJ27" s="6">
        <f t="shared" si="135"/>
        <v>97.432795698924721</v>
      </c>
      <c r="DK27" s="18">
        <f t="shared" si="136"/>
        <v>8.0556727119358928</v>
      </c>
      <c r="DL27" s="6">
        <f t="shared" si="366"/>
        <v>17.4758064516129</v>
      </c>
      <c r="DM27" s="6">
        <f t="shared" si="367"/>
        <v>744</v>
      </c>
      <c r="DN27" s="86">
        <v>6501</v>
      </c>
      <c r="DO27" s="8">
        <v>50</v>
      </c>
      <c r="DR27" s="37" t="s">
        <v>50</v>
      </c>
      <c r="DS27" s="8">
        <v>523.20000000000005</v>
      </c>
      <c r="DT27" s="8">
        <v>247</v>
      </c>
      <c r="DU27" s="8">
        <v>276.2</v>
      </c>
      <c r="DV27" s="8">
        <v>220.8</v>
      </c>
      <c r="DW27" s="6">
        <f t="shared" si="368"/>
        <v>29.677419354838712</v>
      </c>
      <c r="DX27" s="8">
        <v>0</v>
      </c>
      <c r="DY27" s="6">
        <f t="shared" si="369"/>
        <v>0</v>
      </c>
      <c r="DZ27" s="6">
        <v>0</v>
      </c>
      <c r="EA27" s="6">
        <f t="shared" si="370"/>
        <v>0</v>
      </c>
      <c r="EB27" s="8">
        <v>0</v>
      </c>
      <c r="EC27" s="6">
        <f t="shared" si="371"/>
        <v>70.322580645161295</v>
      </c>
      <c r="ED27" s="6">
        <f t="shared" si="372"/>
        <v>70.322580645161295</v>
      </c>
      <c r="EE27" s="18">
        <f t="shared" si="373"/>
        <v>47.199657973492947</v>
      </c>
      <c r="EF27" s="6">
        <f t="shared" si="374"/>
        <v>20.940860215053764</v>
      </c>
      <c r="EG27" s="6">
        <f t="shared" si="375"/>
        <v>744</v>
      </c>
      <c r="EH27" s="86">
        <v>7790</v>
      </c>
      <c r="EI27" s="8">
        <v>50</v>
      </c>
      <c r="EL27" s="37" t="s">
        <v>50</v>
      </c>
      <c r="EM27" s="8">
        <v>672</v>
      </c>
      <c r="EN27" s="8">
        <v>235</v>
      </c>
      <c r="EO27" s="8">
        <v>437</v>
      </c>
      <c r="EP27" s="100">
        <v>0</v>
      </c>
      <c r="EQ27" s="6">
        <f t="shared" si="140"/>
        <v>0</v>
      </c>
      <c r="ER27" s="100">
        <v>0</v>
      </c>
      <c r="ES27" s="6">
        <f t="shared" si="141"/>
        <v>0</v>
      </c>
      <c r="ET27" s="6">
        <v>0</v>
      </c>
      <c r="EU27" s="6">
        <f t="shared" si="376"/>
        <v>0</v>
      </c>
      <c r="EV27" s="8">
        <v>0</v>
      </c>
      <c r="EW27" s="6">
        <f t="shared" si="377"/>
        <v>90.322580645161281</v>
      </c>
      <c r="EX27" s="6">
        <f t="shared" si="142"/>
        <v>100</v>
      </c>
      <c r="EY27" s="18">
        <f t="shared" si="378"/>
        <v>0</v>
      </c>
      <c r="EZ27" s="6">
        <f t="shared" si="379"/>
        <v>0</v>
      </c>
      <c r="FA27" s="6">
        <f t="shared" si="380"/>
        <v>672</v>
      </c>
      <c r="FB27" s="8">
        <v>0</v>
      </c>
      <c r="FC27" s="8">
        <v>50</v>
      </c>
      <c r="FF27" s="37" t="s">
        <v>50</v>
      </c>
      <c r="FG27" s="21">
        <v>744</v>
      </c>
      <c r="FH27" s="100">
        <v>379</v>
      </c>
      <c r="FI27" s="100">
        <v>365</v>
      </c>
      <c r="FJ27" s="8">
        <v>0</v>
      </c>
      <c r="FK27" s="6">
        <f t="shared" si="409"/>
        <v>0</v>
      </c>
      <c r="FL27" s="8">
        <v>0</v>
      </c>
      <c r="FM27" s="6">
        <f t="shared" si="409"/>
        <v>0</v>
      </c>
      <c r="FN27" s="6">
        <v>0</v>
      </c>
      <c r="FO27" s="6">
        <f t="shared" si="382"/>
        <v>0</v>
      </c>
      <c r="FP27" s="8">
        <v>0</v>
      </c>
      <c r="FQ27" s="6">
        <f t="shared" si="383"/>
        <v>100</v>
      </c>
      <c r="FR27" s="6">
        <f t="shared" si="410"/>
        <v>100</v>
      </c>
      <c r="FS27" s="18">
        <f t="shared" si="143"/>
        <v>0</v>
      </c>
      <c r="FT27" s="6">
        <f t="shared" si="385"/>
        <v>0</v>
      </c>
      <c r="FU27" s="6">
        <f t="shared" si="386"/>
        <v>744</v>
      </c>
      <c r="FV27" s="8">
        <v>0</v>
      </c>
      <c r="FW27" s="8">
        <v>50</v>
      </c>
      <c r="FZ27" s="37" t="s">
        <v>50</v>
      </c>
      <c r="GA27" s="8">
        <v>709.7</v>
      </c>
      <c r="GB27" s="8">
        <v>483</v>
      </c>
      <c r="GC27" s="8">
        <v>226.7</v>
      </c>
      <c r="GD27" s="8">
        <v>10.3</v>
      </c>
      <c r="GE27" s="6">
        <f t="shared" si="387"/>
        <v>1.4305555555555556E-2</v>
      </c>
      <c r="GF27" s="8">
        <v>0</v>
      </c>
      <c r="GG27" s="6">
        <f t="shared" si="388"/>
        <v>0</v>
      </c>
      <c r="GH27" s="6">
        <v>0</v>
      </c>
      <c r="GI27" s="6">
        <f t="shared" si="389"/>
        <v>0</v>
      </c>
      <c r="GJ27" s="8">
        <v>0</v>
      </c>
      <c r="GK27" s="6">
        <f t="shared" si="390"/>
        <v>95.38978494623656</v>
      </c>
      <c r="GL27" s="6">
        <f t="shared" si="145"/>
        <v>98.569444444444457</v>
      </c>
      <c r="GM27" s="18">
        <f t="shared" si="391"/>
        <v>2.0879789174944254</v>
      </c>
      <c r="GN27" s="6">
        <f t="shared" si="392"/>
        <v>43.883333333333333</v>
      </c>
      <c r="GO27" s="6">
        <f t="shared" si="393"/>
        <v>720</v>
      </c>
      <c r="GP27" s="42">
        <v>15798</v>
      </c>
      <c r="GQ27" s="8">
        <v>50</v>
      </c>
      <c r="GT27" s="37" t="s">
        <v>50</v>
      </c>
      <c r="GU27" s="8">
        <v>744</v>
      </c>
      <c r="GV27" s="8">
        <v>277</v>
      </c>
      <c r="GW27" s="8">
        <v>467</v>
      </c>
      <c r="GX27" s="8">
        <v>0</v>
      </c>
      <c r="GY27" s="8">
        <f t="shared" si="338"/>
        <v>0</v>
      </c>
      <c r="GZ27" s="8">
        <v>0</v>
      </c>
      <c r="HA27" s="8">
        <f t="shared" si="338"/>
        <v>0</v>
      </c>
      <c r="HB27" s="8">
        <v>0</v>
      </c>
      <c r="HC27" s="6">
        <f t="shared" si="394"/>
        <v>0</v>
      </c>
      <c r="HD27" s="8">
        <v>0</v>
      </c>
      <c r="HE27" s="6">
        <f t="shared" si="395"/>
        <v>100</v>
      </c>
      <c r="HF27" s="6">
        <f t="shared" si="396"/>
        <v>100</v>
      </c>
      <c r="HG27" s="18">
        <f t="shared" si="397"/>
        <v>0</v>
      </c>
      <c r="HH27" s="6">
        <f t="shared" si="398"/>
        <v>22.959677419354836</v>
      </c>
      <c r="HI27" s="6">
        <f t="shared" si="399"/>
        <v>744</v>
      </c>
      <c r="HJ27" s="86">
        <v>8541</v>
      </c>
      <c r="HK27" s="8">
        <v>50</v>
      </c>
      <c r="HN27" s="37" t="s">
        <v>50</v>
      </c>
      <c r="HO27" s="52">
        <v>720</v>
      </c>
      <c r="HP27" s="52">
        <v>335</v>
      </c>
      <c r="HQ27" s="52">
        <v>385</v>
      </c>
      <c r="HR27" s="52">
        <v>0</v>
      </c>
      <c r="HS27" s="6">
        <f t="shared" si="400"/>
        <v>0</v>
      </c>
      <c r="HT27" s="52">
        <v>0</v>
      </c>
      <c r="HU27" s="6">
        <f t="shared" si="401"/>
        <v>0</v>
      </c>
      <c r="HV27" s="52">
        <v>0</v>
      </c>
      <c r="HW27" s="6">
        <f t="shared" si="402"/>
        <v>0</v>
      </c>
      <c r="HX27" s="8">
        <v>0</v>
      </c>
      <c r="HY27" s="6">
        <f t="shared" si="403"/>
        <v>100</v>
      </c>
      <c r="HZ27" s="6">
        <f t="shared" si="404"/>
        <v>100</v>
      </c>
      <c r="IA27" s="18">
        <f t="shared" si="405"/>
        <v>0</v>
      </c>
      <c r="IB27" s="6">
        <f t="shared" si="406"/>
        <v>30.575000000000003</v>
      </c>
      <c r="IC27" s="6">
        <f t="shared" si="407"/>
        <v>720</v>
      </c>
      <c r="ID27" s="54">
        <v>11007</v>
      </c>
      <c r="IE27" s="8">
        <v>50</v>
      </c>
      <c r="IF27" s="15">
        <v>50</v>
      </c>
    </row>
    <row r="28" spans="1:240" ht="14.25" x14ac:dyDescent="0.25">
      <c r="B28" s="37" t="s">
        <v>51</v>
      </c>
      <c r="C28" s="8">
        <v>0</v>
      </c>
      <c r="D28" s="8">
        <v>0</v>
      </c>
      <c r="E28" s="8">
        <v>0</v>
      </c>
      <c r="F28" s="8">
        <v>0</v>
      </c>
      <c r="G28" s="6">
        <f t="shared" si="339"/>
        <v>0</v>
      </c>
      <c r="H28" s="8">
        <v>744</v>
      </c>
      <c r="I28" s="6">
        <f>(H28/$B$4)*100</f>
        <v>100</v>
      </c>
      <c r="J28" s="6">
        <v>0</v>
      </c>
      <c r="K28" s="6">
        <f t="shared" si="341"/>
        <v>0</v>
      </c>
      <c r="L28" s="8">
        <v>0</v>
      </c>
      <c r="M28" s="6">
        <f t="shared" ref="M28" si="411">(C28/$B$4)*100</f>
        <v>0</v>
      </c>
      <c r="N28" s="6">
        <f t="shared" si="279"/>
        <v>0</v>
      </c>
      <c r="O28" s="6">
        <f t="shared" si="116"/>
        <v>0</v>
      </c>
      <c r="P28" s="6">
        <f t="shared" si="343"/>
        <v>0</v>
      </c>
      <c r="Q28" s="6">
        <f t="shared" si="344"/>
        <v>744</v>
      </c>
      <c r="R28" s="8">
        <v>0</v>
      </c>
      <c r="S28" s="8">
        <v>96</v>
      </c>
      <c r="V28" s="37" t="s">
        <v>51</v>
      </c>
      <c r="W28" s="6">
        <f t="shared" si="345"/>
        <v>0</v>
      </c>
      <c r="X28" s="8">
        <v>0</v>
      </c>
      <c r="Y28" s="8">
        <v>0</v>
      </c>
      <c r="Z28" s="8">
        <v>0</v>
      </c>
      <c r="AA28" s="8">
        <f t="shared" si="117"/>
        <v>0</v>
      </c>
      <c r="AB28" s="8">
        <v>744</v>
      </c>
      <c r="AC28" s="8">
        <f t="shared" si="118"/>
        <v>100</v>
      </c>
      <c r="AD28" s="8">
        <v>0</v>
      </c>
      <c r="AE28" s="6">
        <f t="shared" si="346"/>
        <v>0</v>
      </c>
      <c r="AF28" s="8">
        <v>0</v>
      </c>
      <c r="AG28" s="6">
        <f t="shared" si="347"/>
        <v>0</v>
      </c>
      <c r="AH28" s="8">
        <f t="shared" si="119"/>
        <v>0</v>
      </c>
      <c r="AI28" s="15">
        <f t="shared" si="120"/>
        <v>0</v>
      </c>
      <c r="AJ28" s="6">
        <f t="shared" si="348"/>
        <v>0</v>
      </c>
      <c r="AK28" s="6">
        <f t="shared" si="349"/>
        <v>744</v>
      </c>
      <c r="AL28" s="8">
        <v>0</v>
      </c>
      <c r="AM28" s="8">
        <v>96</v>
      </c>
      <c r="AP28" s="37" t="s">
        <v>51</v>
      </c>
      <c r="AQ28" s="8">
        <v>0</v>
      </c>
      <c r="AR28" s="8">
        <v>0</v>
      </c>
      <c r="AS28" s="8">
        <v>0</v>
      </c>
      <c r="AT28" s="8">
        <v>0</v>
      </c>
      <c r="AU28" s="8">
        <f t="shared" si="121"/>
        <v>0</v>
      </c>
      <c r="AV28" s="8">
        <v>720</v>
      </c>
      <c r="AW28" s="8">
        <f t="shared" si="122"/>
        <v>100</v>
      </c>
      <c r="AX28" s="8">
        <v>0</v>
      </c>
      <c r="AY28" s="6">
        <f t="shared" si="350"/>
        <v>0</v>
      </c>
      <c r="AZ28" s="8">
        <v>0</v>
      </c>
      <c r="BA28" s="6">
        <f t="shared" si="351"/>
        <v>0</v>
      </c>
      <c r="BB28" s="8">
        <f t="shared" si="123"/>
        <v>0</v>
      </c>
      <c r="BC28" s="15">
        <f t="shared" si="124"/>
        <v>0</v>
      </c>
      <c r="BD28" s="6">
        <f t="shared" ref="BD28:BD32" si="412">(BF28/($AP$4*BG28))*100</f>
        <v>0</v>
      </c>
      <c r="BE28" s="6">
        <f t="shared" si="353"/>
        <v>720</v>
      </c>
      <c r="BF28" s="8">
        <v>0</v>
      </c>
      <c r="BG28" s="8">
        <v>96</v>
      </c>
      <c r="BJ28" s="37" t="s">
        <v>51</v>
      </c>
      <c r="BK28" s="8">
        <v>0</v>
      </c>
      <c r="BL28" s="8">
        <v>0</v>
      </c>
      <c r="BM28" s="8">
        <v>0</v>
      </c>
      <c r="BN28" s="8">
        <v>0</v>
      </c>
      <c r="BO28" s="15">
        <f t="shared" si="126"/>
        <v>0</v>
      </c>
      <c r="BP28" s="8">
        <v>744</v>
      </c>
      <c r="BQ28" s="8">
        <f t="shared" si="127"/>
        <v>100</v>
      </c>
      <c r="BR28" s="8">
        <v>0</v>
      </c>
      <c r="BS28" s="6">
        <f t="shared" si="354"/>
        <v>0</v>
      </c>
      <c r="BT28" s="8">
        <v>0</v>
      </c>
      <c r="BU28" s="6">
        <f t="shared" si="355"/>
        <v>0</v>
      </c>
      <c r="BV28" s="6">
        <f t="shared" si="128"/>
        <v>0</v>
      </c>
      <c r="BW28" s="6">
        <f t="shared" si="129"/>
        <v>0</v>
      </c>
      <c r="BX28" s="6">
        <f t="shared" si="356"/>
        <v>0</v>
      </c>
      <c r="BY28" s="6">
        <f t="shared" si="357"/>
        <v>744</v>
      </c>
      <c r="BZ28" s="8">
        <v>0</v>
      </c>
      <c r="CA28" s="8">
        <v>96</v>
      </c>
      <c r="CD28" s="37" t="s">
        <v>51</v>
      </c>
      <c r="CE28" s="8">
        <v>0</v>
      </c>
      <c r="CF28" s="8">
        <v>0</v>
      </c>
      <c r="CG28" s="8">
        <v>0</v>
      </c>
      <c r="CH28" s="8">
        <v>0</v>
      </c>
      <c r="CI28" s="6">
        <f>(CH28/$CD$4)*100</f>
        <v>0</v>
      </c>
      <c r="CJ28" s="8">
        <v>720</v>
      </c>
      <c r="CK28" s="6">
        <f>(CJ28/$CD$4)*100</f>
        <v>100</v>
      </c>
      <c r="CL28" s="6">
        <v>0</v>
      </c>
      <c r="CM28" s="6">
        <f t="shared" si="359"/>
        <v>0</v>
      </c>
      <c r="CN28" s="8">
        <v>0</v>
      </c>
      <c r="CO28" s="6">
        <f t="shared" si="360"/>
        <v>0</v>
      </c>
      <c r="CP28" s="6">
        <f t="shared" si="132"/>
        <v>0</v>
      </c>
      <c r="CQ28" s="18">
        <f>IF((AND(CF28=0,CH28=0)),0,(CH28+CN28)/(CF28+CH28)*100)</f>
        <v>0</v>
      </c>
      <c r="CR28" s="6">
        <f t="shared" si="362"/>
        <v>0</v>
      </c>
      <c r="CS28" s="6">
        <f t="shared" si="363"/>
        <v>720</v>
      </c>
      <c r="CT28" s="8">
        <v>0</v>
      </c>
      <c r="CU28" s="8">
        <v>96</v>
      </c>
      <c r="CX28" s="37" t="s">
        <v>51</v>
      </c>
      <c r="CY28" s="8">
        <v>0</v>
      </c>
      <c r="CZ28" s="8">
        <v>0</v>
      </c>
      <c r="DA28" s="8">
        <v>0</v>
      </c>
      <c r="DB28" s="8">
        <v>0</v>
      </c>
      <c r="DC28" s="6">
        <f>(DB28/$CX$4)*100</f>
        <v>0</v>
      </c>
      <c r="DD28" s="8">
        <v>744</v>
      </c>
      <c r="DE28" s="6">
        <f>(DD28/$CX$4)*100</f>
        <v>100</v>
      </c>
      <c r="DF28" s="6">
        <v>0</v>
      </c>
      <c r="DG28" s="6">
        <f t="shared" si="364"/>
        <v>0</v>
      </c>
      <c r="DH28" s="8">
        <v>0</v>
      </c>
      <c r="DI28" s="6">
        <f t="shared" si="365"/>
        <v>0</v>
      </c>
      <c r="DJ28" s="6">
        <f>((CY28-DH28)/$CX$4)*100</f>
        <v>0</v>
      </c>
      <c r="DK28" s="18">
        <f>IF((AND(CZ28=0,DB28=0)),0,(DB28+DH28)/(CZ28+DB28)*100)</f>
        <v>0</v>
      </c>
      <c r="DL28" s="6">
        <f t="shared" si="366"/>
        <v>0</v>
      </c>
      <c r="DM28" s="6">
        <f t="shared" si="367"/>
        <v>744</v>
      </c>
      <c r="DN28" s="8">
        <v>0</v>
      </c>
      <c r="DO28" s="8">
        <v>96</v>
      </c>
      <c r="DR28" s="37" t="s">
        <v>51</v>
      </c>
      <c r="DS28" s="8">
        <v>0</v>
      </c>
      <c r="DT28" s="8">
        <v>0</v>
      </c>
      <c r="DU28" s="8">
        <v>0</v>
      </c>
      <c r="DV28" s="8">
        <v>0</v>
      </c>
      <c r="DW28" s="6">
        <f>(DV28/$DR$4)*100</f>
        <v>0</v>
      </c>
      <c r="DX28" s="8">
        <v>744</v>
      </c>
      <c r="DY28" s="6">
        <f>(DX28/$DR$4)*100</f>
        <v>100</v>
      </c>
      <c r="DZ28" s="6">
        <v>0</v>
      </c>
      <c r="EA28" s="6">
        <f t="shared" si="370"/>
        <v>0</v>
      </c>
      <c r="EB28" s="8">
        <v>0</v>
      </c>
      <c r="EC28" s="6">
        <f t="shared" si="371"/>
        <v>0</v>
      </c>
      <c r="ED28" s="6">
        <f>((DS28-EB28)/$DR$4)*100</f>
        <v>0</v>
      </c>
      <c r="EE28" s="18">
        <f>IF((AND(DT28=0,DV28=0)),0,(DV28+EB28)/(DT28+DV28)*100)</f>
        <v>0</v>
      </c>
      <c r="EF28" s="6">
        <f t="shared" si="374"/>
        <v>0</v>
      </c>
      <c r="EG28" s="6">
        <f t="shared" si="375"/>
        <v>744</v>
      </c>
      <c r="EH28" s="8">
        <v>0</v>
      </c>
      <c r="EI28" s="8">
        <v>96</v>
      </c>
      <c r="EL28" s="37" t="s">
        <v>51</v>
      </c>
      <c r="EM28" s="8">
        <v>0</v>
      </c>
      <c r="EN28" s="8">
        <v>0</v>
      </c>
      <c r="EO28" s="8">
        <v>0</v>
      </c>
      <c r="EP28" s="8">
        <v>0</v>
      </c>
      <c r="EQ28" s="6">
        <f>(EP28/$EL$4)*100</f>
        <v>0</v>
      </c>
      <c r="ER28" s="8">
        <v>672</v>
      </c>
      <c r="ES28" s="6">
        <f>(ER28/$EL$4)*100</f>
        <v>100</v>
      </c>
      <c r="ET28" s="6">
        <v>0</v>
      </c>
      <c r="EU28" s="6">
        <f t="shared" si="376"/>
        <v>0</v>
      </c>
      <c r="EV28" s="8">
        <v>0</v>
      </c>
      <c r="EW28" s="6">
        <f t="shared" si="377"/>
        <v>0</v>
      </c>
      <c r="EX28" s="6">
        <f>((EM28-EV28)/$EL$4)*100</f>
        <v>0</v>
      </c>
      <c r="EY28" s="18">
        <f>IF((AND(EN28=0,EP28=0)),0,(EP28+EV28)/(EN28+EP28)*100)</f>
        <v>0</v>
      </c>
      <c r="EZ28" s="6">
        <f t="shared" si="379"/>
        <v>0</v>
      </c>
      <c r="FA28" s="6">
        <f t="shared" si="380"/>
        <v>672</v>
      </c>
      <c r="FB28" s="8">
        <v>0</v>
      </c>
      <c r="FC28" s="8">
        <v>96</v>
      </c>
      <c r="FF28" s="37" t="s">
        <v>51</v>
      </c>
      <c r="FG28" s="8">
        <v>0</v>
      </c>
      <c r="FH28" s="8">
        <v>0</v>
      </c>
      <c r="FI28" s="8">
        <v>0</v>
      </c>
      <c r="FJ28" s="8">
        <v>0</v>
      </c>
      <c r="FK28" s="6">
        <f>(FJ28/$FF$4)*100</f>
        <v>0</v>
      </c>
      <c r="FL28" s="8">
        <v>744</v>
      </c>
      <c r="FM28" s="6">
        <f>(FL28/$FF$4)*100</f>
        <v>100</v>
      </c>
      <c r="FN28" s="6">
        <v>0</v>
      </c>
      <c r="FO28" s="6">
        <f t="shared" si="382"/>
        <v>0</v>
      </c>
      <c r="FP28" s="8">
        <v>0</v>
      </c>
      <c r="FQ28" s="6">
        <f t="shared" si="383"/>
        <v>0</v>
      </c>
      <c r="FR28" s="6">
        <f>((FG28-FP28)/$FF$4)*100</f>
        <v>0</v>
      </c>
      <c r="FS28" s="18">
        <f t="shared" si="143"/>
        <v>0</v>
      </c>
      <c r="FT28" s="6">
        <f t="shared" si="385"/>
        <v>0</v>
      </c>
      <c r="FU28" s="6">
        <f t="shared" si="386"/>
        <v>744</v>
      </c>
      <c r="FV28" s="8">
        <v>0</v>
      </c>
      <c r="FW28" s="8">
        <v>96</v>
      </c>
      <c r="FZ28" s="37" t="s">
        <v>51</v>
      </c>
      <c r="GA28" s="8">
        <v>0</v>
      </c>
      <c r="GB28" s="8">
        <v>0</v>
      </c>
      <c r="GC28" s="8">
        <v>0</v>
      </c>
      <c r="GD28" s="8">
        <v>0</v>
      </c>
      <c r="GE28" s="6">
        <f t="shared" si="387"/>
        <v>0</v>
      </c>
      <c r="GF28" s="8">
        <v>720</v>
      </c>
      <c r="GG28" s="6">
        <f>(GF28/$FZ$4)*100</f>
        <v>100</v>
      </c>
      <c r="GH28" s="6">
        <v>0</v>
      </c>
      <c r="GI28" s="6">
        <f t="shared" si="389"/>
        <v>0</v>
      </c>
      <c r="GJ28" s="8">
        <v>0</v>
      </c>
      <c r="GK28" s="6">
        <f t="shared" si="390"/>
        <v>0</v>
      </c>
      <c r="GL28" s="6">
        <f>((GA28-GJ28)/$FZ$4)*100</f>
        <v>0</v>
      </c>
      <c r="GM28" s="18">
        <f>IF((AND(GB28=0,GD28=0)),0,(GD28+GJ28)/(GB28+GD28)*100)</f>
        <v>0</v>
      </c>
      <c r="GN28" s="6">
        <f t="shared" si="392"/>
        <v>0</v>
      </c>
      <c r="GO28" s="6">
        <f t="shared" si="393"/>
        <v>720</v>
      </c>
      <c r="GP28" s="8">
        <v>0</v>
      </c>
      <c r="GQ28" s="8">
        <v>96</v>
      </c>
      <c r="GT28" s="37" t="s">
        <v>51</v>
      </c>
      <c r="GU28" s="8">
        <v>0</v>
      </c>
      <c r="GV28" s="8">
        <v>0</v>
      </c>
      <c r="GW28" s="8">
        <v>0</v>
      </c>
      <c r="GX28" s="8">
        <v>0</v>
      </c>
      <c r="GY28" s="8">
        <f t="shared" si="338"/>
        <v>0</v>
      </c>
      <c r="GZ28" s="8">
        <v>744</v>
      </c>
      <c r="HA28" s="8">
        <f t="shared" si="338"/>
        <v>100</v>
      </c>
      <c r="HB28" s="8">
        <v>0</v>
      </c>
      <c r="HC28" s="6">
        <f t="shared" si="394"/>
        <v>0</v>
      </c>
      <c r="HD28" s="8">
        <v>0</v>
      </c>
      <c r="HE28" s="6">
        <f t="shared" si="395"/>
        <v>0</v>
      </c>
      <c r="HF28" s="6">
        <f t="shared" si="396"/>
        <v>0</v>
      </c>
      <c r="HG28" s="18">
        <f t="shared" si="397"/>
        <v>0</v>
      </c>
      <c r="HH28" s="6">
        <f t="shared" si="398"/>
        <v>0</v>
      </c>
      <c r="HI28" s="6">
        <f t="shared" si="399"/>
        <v>744</v>
      </c>
      <c r="HJ28" s="8">
        <v>0</v>
      </c>
      <c r="HK28" s="8">
        <v>96</v>
      </c>
      <c r="HN28" s="37" t="s">
        <v>51</v>
      </c>
      <c r="HO28" s="52">
        <v>0</v>
      </c>
      <c r="HP28" s="52">
        <v>0</v>
      </c>
      <c r="HQ28" s="52">
        <v>0</v>
      </c>
      <c r="HR28" s="52">
        <v>0</v>
      </c>
      <c r="HS28" s="6">
        <f t="shared" si="400"/>
        <v>0</v>
      </c>
      <c r="HT28" s="52">
        <v>720</v>
      </c>
      <c r="HU28" s="6">
        <f t="shared" si="401"/>
        <v>100</v>
      </c>
      <c r="HV28" s="52">
        <v>0</v>
      </c>
      <c r="HW28" s="6">
        <f t="shared" si="402"/>
        <v>0</v>
      </c>
      <c r="HX28" s="8">
        <v>0</v>
      </c>
      <c r="HY28" s="6">
        <f t="shared" si="403"/>
        <v>0</v>
      </c>
      <c r="HZ28" s="6">
        <f t="shared" si="404"/>
        <v>0</v>
      </c>
      <c r="IA28" s="18">
        <f t="shared" si="405"/>
        <v>0</v>
      </c>
      <c r="IB28" s="6">
        <f t="shared" si="406"/>
        <v>0</v>
      </c>
      <c r="IC28" s="6">
        <f t="shared" si="407"/>
        <v>720</v>
      </c>
      <c r="ID28" s="54">
        <v>0</v>
      </c>
      <c r="IE28" s="8">
        <v>96</v>
      </c>
      <c r="IF28" s="15">
        <v>0</v>
      </c>
    </row>
    <row r="29" spans="1:240" ht="15" x14ac:dyDescent="0.25">
      <c r="A29" s="74"/>
      <c r="B29" s="37" t="s">
        <v>52</v>
      </c>
      <c r="C29" s="8">
        <v>0</v>
      </c>
      <c r="D29" s="8">
        <v>0</v>
      </c>
      <c r="E29" s="8">
        <v>0</v>
      </c>
      <c r="F29" s="8">
        <v>744</v>
      </c>
      <c r="G29" s="6">
        <f>(F29/$B$4)*100</f>
        <v>100</v>
      </c>
      <c r="H29" s="8">
        <v>0</v>
      </c>
      <c r="I29" s="6">
        <f t="shared" si="340"/>
        <v>0</v>
      </c>
      <c r="J29" s="6">
        <v>0</v>
      </c>
      <c r="K29" s="6">
        <f>(J29/$B$4)*100</f>
        <v>0</v>
      </c>
      <c r="L29" s="8">
        <v>0</v>
      </c>
      <c r="M29" s="6">
        <f>(C29/$B$4)*100</f>
        <v>0</v>
      </c>
      <c r="N29" s="6">
        <f t="shared" si="279"/>
        <v>0</v>
      </c>
      <c r="O29" s="6">
        <f t="shared" si="116"/>
        <v>100</v>
      </c>
      <c r="P29" s="6">
        <f t="shared" si="343"/>
        <v>0</v>
      </c>
      <c r="Q29" s="6">
        <f>SUM(D29:F29,H29,J29)</f>
        <v>744</v>
      </c>
      <c r="R29" s="8">
        <v>0</v>
      </c>
      <c r="S29" s="8">
        <v>50</v>
      </c>
      <c r="U29" s="74"/>
      <c r="V29" s="37" t="s">
        <v>52</v>
      </c>
      <c r="W29" s="6">
        <f>$V$4-Z29-AB29-AD29</f>
        <v>0</v>
      </c>
      <c r="X29" s="8">
        <v>0</v>
      </c>
      <c r="Y29" s="8">
        <v>0</v>
      </c>
      <c r="Z29" s="8">
        <v>744</v>
      </c>
      <c r="AA29" s="8">
        <f t="shared" si="117"/>
        <v>100</v>
      </c>
      <c r="AB29" s="8">
        <v>0</v>
      </c>
      <c r="AC29" s="8">
        <f t="shared" si="118"/>
        <v>0</v>
      </c>
      <c r="AD29" s="8">
        <v>0</v>
      </c>
      <c r="AE29" s="6">
        <f>(AD29/$V$4)*100</f>
        <v>0</v>
      </c>
      <c r="AF29" s="8">
        <v>0</v>
      </c>
      <c r="AG29" s="6">
        <f t="shared" si="347"/>
        <v>0</v>
      </c>
      <c r="AH29" s="8">
        <f t="shared" si="119"/>
        <v>0</v>
      </c>
      <c r="AI29" s="6">
        <f t="shared" si="120"/>
        <v>100</v>
      </c>
      <c r="AJ29" s="6">
        <f t="shared" si="348"/>
        <v>0</v>
      </c>
      <c r="AK29" s="6">
        <f>SUM(X29:Z29,AB29,AD29)</f>
        <v>744</v>
      </c>
      <c r="AL29" s="8">
        <v>0</v>
      </c>
      <c r="AM29" s="8">
        <v>50</v>
      </c>
      <c r="AO29" s="74"/>
      <c r="AP29" s="37" t="s">
        <v>52</v>
      </c>
      <c r="AQ29" s="8">
        <v>9</v>
      </c>
      <c r="AR29" s="8">
        <v>9</v>
      </c>
      <c r="AS29" s="8">
        <v>0</v>
      </c>
      <c r="AT29" s="8">
        <v>711</v>
      </c>
      <c r="AU29" s="8">
        <f t="shared" si="121"/>
        <v>98.75</v>
      </c>
      <c r="AV29" s="8">
        <v>0</v>
      </c>
      <c r="AW29" s="8">
        <f t="shared" si="122"/>
        <v>0</v>
      </c>
      <c r="AX29" s="8">
        <v>0</v>
      </c>
      <c r="AY29" s="6">
        <f>(AX29/$AP$4)*100</f>
        <v>0</v>
      </c>
      <c r="AZ29" s="8">
        <v>0</v>
      </c>
      <c r="BA29" s="6">
        <f t="shared" si="351"/>
        <v>1.25</v>
      </c>
      <c r="BB29" s="8">
        <f t="shared" si="123"/>
        <v>1.25</v>
      </c>
      <c r="BC29" s="6">
        <f t="shared" si="124"/>
        <v>98.75</v>
      </c>
      <c r="BD29" s="6">
        <f t="shared" si="412"/>
        <v>1.1944444444444444</v>
      </c>
      <c r="BE29" s="6">
        <f>SUM(AR29:AT29,AV29,AX29)</f>
        <v>720</v>
      </c>
      <c r="BF29" s="8">
        <v>430</v>
      </c>
      <c r="BG29" s="8">
        <v>50</v>
      </c>
      <c r="BI29" s="74"/>
      <c r="BJ29" s="37" t="s">
        <v>52</v>
      </c>
      <c r="BK29" s="8">
        <v>670.6</v>
      </c>
      <c r="BL29" s="8">
        <v>341.5</v>
      </c>
      <c r="BM29" s="8">
        <v>329.1</v>
      </c>
      <c r="BN29" s="8">
        <v>54.8</v>
      </c>
      <c r="BO29" s="6">
        <f t="shared" si="126"/>
        <v>7.365591397849462</v>
      </c>
      <c r="BP29" s="8">
        <v>0</v>
      </c>
      <c r="BQ29" s="8">
        <f t="shared" si="127"/>
        <v>0</v>
      </c>
      <c r="BR29" s="8">
        <v>18.600000000000001</v>
      </c>
      <c r="BS29" s="6">
        <f>(BR29/$BJ$4)*100</f>
        <v>2.5</v>
      </c>
      <c r="BT29" s="8">
        <v>0</v>
      </c>
      <c r="BU29" s="6">
        <f t="shared" si="355"/>
        <v>90.134408602150543</v>
      </c>
      <c r="BV29" s="6">
        <f t="shared" si="128"/>
        <v>90.134408602150543</v>
      </c>
      <c r="BW29" s="6">
        <f t="shared" si="129"/>
        <v>13.827908150391115</v>
      </c>
      <c r="BX29" s="6">
        <f>(BZ29/($BJ$4*CA29))*100</f>
        <v>27.841397849462368</v>
      </c>
      <c r="BY29" s="6">
        <f>SUM(BL29:BN29,BP29,BR29)</f>
        <v>744</v>
      </c>
      <c r="BZ29" s="86">
        <v>10357</v>
      </c>
      <c r="CA29" s="8">
        <v>50</v>
      </c>
      <c r="CC29" s="74"/>
      <c r="CD29" s="37" t="s">
        <v>52</v>
      </c>
      <c r="CE29" s="8">
        <v>671.7</v>
      </c>
      <c r="CF29" s="8">
        <v>119.5</v>
      </c>
      <c r="CG29" s="8">
        <v>552.20000000000005</v>
      </c>
      <c r="CH29" s="8">
        <v>33.4</v>
      </c>
      <c r="CI29" s="6">
        <f t="shared" ref="CI29:CI39" si="413">(CH29/$CD$4)*100</f>
        <v>4.6388888888888893</v>
      </c>
      <c r="CJ29" s="8">
        <v>0</v>
      </c>
      <c r="CK29" s="6">
        <f t="shared" ref="CK29:CK39" si="414">(CJ29/$CD$4)*100</f>
        <v>0</v>
      </c>
      <c r="CL29" s="6">
        <v>14.9</v>
      </c>
      <c r="CM29" s="6">
        <f>(CL29/$CD$4)*100</f>
        <v>2.0694444444444446</v>
      </c>
      <c r="CN29" s="8">
        <v>0</v>
      </c>
      <c r="CO29" s="6">
        <f t="shared" si="360"/>
        <v>93.291666666666671</v>
      </c>
      <c r="CP29" s="6">
        <f t="shared" si="132"/>
        <v>93.291666666666671</v>
      </c>
      <c r="CQ29" s="18">
        <f t="shared" ref="CQ29:CQ48" si="415">IF((AND(CF29=0,CH29=0)),0,(CH29+CN29)/(CF29+CH29)*100)</f>
        <v>21.844342707652061</v>
      </c>
      <c r="CR29" s="6">
        <f>(CT29/($CD$4*CU29))*100</f>
        <v>9.3166666666666664</v>
      </c>
      <c r="CS29" s="6">
        <f>SUM(CF29:CH29,CJ29,CL29)</f>
        <v>720</v>
      </c>
      <c r="CT29" s="42">
        <v>3354</v>
      </c>
      <c r="CU29" s="8">
        <v>50</v>
      </c>
      <c r="CW29" s="74"/>
      <c r="CX29" s="37" t="s">
        <v>52</v>
      </c>
      <c r="CY29" s="8">
        <v>620.9</v>
      </c>
      <c r="CZ29" s="8">
        <v>149.6</v>
      </c>
      <c r="DA29" s="8">
        <v>471.3</v>
      </c>
      <c r="DB29" s="8">
        <v>123.1</v>
      </c>
      <c r="DC29" s="6">
        <f t="shared" ref="DC29:DC78" si="416">(DB29/$CX$4)*100</f>
        <v>16.54569892473118</v>
      </c>
      <c r="DD29" s="8">
        <v>0</v>
      </c>
      <c r="DE29" s="6">
        <f t="shared" ref="DE29:DE78" si="417">(DD29/$CX$4)*100</f>
        <v>0</v>
      </c>
      <c r="DF29" s="6">
        <v>0</v>
      </c>
      <c r="DG29" s="6">
        <f>(DF29/$CX$4)*100</f>
        <v>0</v>
      </c>
      <c r="DH29" s="8">
        <v>0</v>
      </c>
      <c r="DI29" s="6">
        <f t="shared" si="365"/>
        <v>83.454301075268816</v>
      </c>
      <c r="DJ29" s="6">
        <f t="shared" ref="DJ29:DJ32" si="418">((CY29-DH29)/$CX$4)*100</f>
        <v>83.454301075268816</v>
      </c>
      <c r="DK29" s="18">
        <f t="shared" ref="DK29:DK32" si="419">IF((AND(CZ29=0,DB29=0)),0,(DB29+DH29)/(CZ29+DB29)*100)</f>
        <v>45.141180784745139</v>
      </c>
      <c r="DL29" s="6">
        <f>(DN29/($CX$4*DO29))*100</f>
        <v>11.545698924731184</v>
      </c>
      <c r="DM29" s="6">
        <f>SUM(CZ29:DB29,DD29,DF29)</f>
        <v>744</v>
      </c>
      <c r="DN29" s="86">
        <v>4295</v>
      </c>
      <c r="DO29" s="8">
        <v>50</v>
      </c>
      <c r="DQ29" s="74"/>
      <c r="DR29" s="37" t="s">
        <v>52</v>
      </c>
      <c r="DS29" s="8">
        <v>0</v>
      </c>
      <c r="DT29" s="8">
        <v>0</v>
      </c>
      <c r="DU29" s="8">
        <v>0</v>
      </c>
      <c r="DV29" s="8">
        <v>744</v>
      </c>
      <c r="DW29" s="6">
        <f t="shared" ref="DW29:DW78" si="420">(DV29/$DR$4)*100</f>
        <v>100</v>
      </c>
      <c r="DX29" s="8">
        <v>0</v>
      </c>
      <c r="DY29" s="6">
        <f t="shared" ref="DY29:DY78" si="421">(DX29/$DR$4)*100</f>
        <v>0</v>
      </c>
      <c r="DZ29" s="6">
        <v>0</v>
      </c>
      <c r="EA29" s="6">
        <f t="shared" si="370"/>
        <v>0</v>
      </c>
      <c r="EB29" s="8">
        <v>0</v>
      </c>
      <c r="EC29" s="6">
        <f t="shared" si="371"/>
        <v>0</v>
      </c>
      <c r="ED29" s="6">
        <f t="shared" ref="ED29:ED32" si="422">((DS29-EB29)/$DR$4)*100</f>
        <v>0</v>
      </c>
      <c r="EE29" s="18">
        <f t="shared" ref="EE29:EE32" si="423">IF((AND(DT29=0,DV29=0)),0,(DV29+EB29)/(DT29+DV29)*100)</f>
        <v>100</v>
      </c>
      <c r="EF29" s="6">
        <f>(EH29/($DR$4*EI29))*100</f>
        <v>0</v>
      </c>
      <c r="EG29" s="6">
        <f>SUM(DT29:DV29,DX29,DZ29)</f>
        <v>744</v>
      </c>
      <c r="EH29" s="8">
        <v>0</v>
      </c>
      <c r="EI29" s="8">
        <v>50</v>
      </c>
      <c r="EK29" s="74"/>
      <c r="EL29" s="37" t="s">
        <v>52</v>
      </c>
      <c r="EM29" s="17">
        <v>0</v>
      </c>
      <c r="EN29" s="20">
        <v>0</v>
      </c>
      <c r="EO29" s="20">
        <v>0</v>
      </c>
      <c r="EP29" s="8">
        <v>672</v>
      </c>
      <c r="EQ29" s="6">
        <f t="shared" ref="EQ29:EQ78" si="424">(EP29/$EL$4)*100</f>
        <v>100</v>
      </c>
      <c r="ER29" s="20">
        <v>0</v>
      </c>
      <c r="ES29" s="6">
        <f t="shared" ref="ES29:ES78" si="425">(ER29/$EL$4)*100</f>
        <v>0</v>
      </c>
      <c r="ET29" s="6">
        <v>0</v>
      </c>
      <c r="EU29" s="6">
        <f>(ET29/$EL$4)*100</f>
        <v>0</v>
      </c>
      <c r="EV29" s="8">
        <v>0</v>
      </c>
      <c r="EW29" s="6">
        <f t="shared" si="377"/>
        <v>0</v>
      </c>
      <c r="EX29" s="6">
        <f t="shared" ref="EX29:EX32" si="426">((EM29-EV29)/$EL$4)*100</f>
        <v>0</v>
      </c>
      <c r="EY29" s="18">
        <f t="shared" ref="EY29:EY32" si="427">IF((AND(EN29=0,EP29=0)),0,(EP29+EV29)/(EN29+EP29)*100)</f>
        <v>100</v>
      </c>
      <c r="EZ29" s="6">
        <f>(FB29/($EL$4*FC29))*100</f>
        <v>0</v>
      </c>
      <c r="FA29" s="6">
        <f>SUM(EN29:EP29,ER29,ET29)</f>
        <v>672</v>
      </c>
      <c r="FB29" s="8">
        <v>0</v>
      </c>
      <c r="FC29" s="8">
        <v>50</v>
      </c>
      <c r="FE29" s="74"/>
      <c r="FF29" s="37" t="s">
        <v>52</v>
      </c>
      <c r="FG29" s="8">
        <v>0</v>
      </c>
      <c r="FH29" s="8">
        <v>0</v>
      </c>
      <c r="FI29" s="8">
        <v>0</v>
      </c>
      <c r="FJ29" s="8">
        <v>744</v>
      </c>
      <c r="FK29" s="6">
        <f t="shared" ref="FK29" si="428">(FJ29/$FF$4)*100</f>
        <v>100</v>
      </c>
      <c r="FL29" s="8">
        <v>0</v>
      </c>
      <c r="FM29" s="6">
        <f t="shared" ref="FM29" si="429">(FL29/$FF$4)*100</f>
        <v>0</v>
      </c>
      <c r="FN29" s="6">
        <v>0</v>
      </c>
      <c r="FO29" s="6">
        <f>(FN29/$FF$4)*100</f>
        <v>0</v>
      </c>
      <c r="FP29" s="8">
        <v>0</v>
      </c>
      <c r="FQ29" s="6">
        <f t="shared" si="383"/>
        <v>0</v>
      </c>
      <c r="FR29" s="6">
        <f t="shared" ref="FR29" si="430">((FG29-FP29)/$FF$4)*100</f>
        <v>0</v>
      </c>
      <c r="FS29" s="18">
        <f t="shared" si="143"/>
        <v>100</v>
      </c>
      <c r="FT29" s="6">
        <f>(FV29/($FF$4*FW29))*100</f>
        <v>0</v>
      </c>
      <c r="FU29" s="6">
        <f>SUM(FH29:FJ29,FL29,FN29)</f>
        <v>744</v>
      </c>
      <c r="FV29" s="8">
        <v>0</v>
      </c>
      <c r="FW29" s="8">
        <v>50</v>
      </c>
      <c r="FY29" s="74"/>
      <c r="FZ29" s="37" t="s">
        <v>52</v>
      </c>
      <c r="GA29" s="8">
        <v>0</v>
      </c>
      <c r="GB29" s="8">
        <v>0</v>
      </c>
      <c r="GC29" s="8">
        <v>0</v>
      </c>
      <c r="GD29" s="8">
        <v>720</v>
      </c>
      <c r="GE29" s="6">
        <f t="shared" si="387"/>
        <v>1</v>
      </c>
      <c r="GF29" s="8">
        <v>0</v>
      </c>
      <c r="GG29" s="6">
        <f t="shared" ref="GG29:GG51" si="431">(GF29/$FZ$4)*100</f>
        <v>0</v>
      </c>
      <c r="GH29" s="6">
        <v>0</v>
      </c>
      <c r="GI29" s="6">
        <f>(GH29/$FZ$4)*100</f>
        <v>0</v>
      </c>
      <c r="GJ29" s="8">
        <v>0</v>
      </c>
      <c r="GK29" s="6">
        <f t="shared" si="390"/>
        <v>0</v>
      </c>
      <c r="GL29" s="6">
        <f t="shared" ref="GL29:GL36" si="432">((GA29-GJ29)/$FZ$4)*100</f>
        <v>0</v>
      </c>
      <c r="GM29" s="18">
        <f t="shared" ref="GM29:GM36" si="433">IF((AND(GB29=0,GD29=0)),0,(GD29+GJ29)/(GB29+GD29)*100)</f>
        <v>100</v>
      </c>
      <c r="GN29" s="6">
        <f t="shared" si="392"/>
        <v>0</v>
      </c>
      <c r="GO29" s="6">
        <f>SUM(GB29:GD29,GF29,GH29)</f>
        <v>720</v>
      </c>
      <c r="GP29" s="8">
        <v>0</v>
      </c>
      <c r="GQ29" s="8">
        <v>50</v>
      </c>
      <c r="GS29" s="74"/>
      <c r="GT29" s="37" t="s">
        <v>52</v>
      </c>
      <c r="GU29" s="8">
        <v>540.5</v>
      </c>
      <c r="GV29" s="8">
        <v>249.6</v>
      </c>
      <c r="GW29" s="8">
        <v>290.89999999999998</v>
      </c>
      <c r="GX29" s="8">
        <v>186.4</v>
      </c>
      <c r="GY29" s="6">
        <f t="shared" si="338"/>
        <v>25.053763440860216</v>
      </c>
      <c r="GZ29" s="8">
        <v>0</v>
      </c>
      <c r="HA29" s="8">
        <f t="shared" si="338"/>
        <v>0</v>
      </c>
      <c r="HB29" s="8">
        <v>17.100000000000001</v>
      </c>
      <c r="HC29" s="6">
        <f>(HB29/$GT$4)*100</f>
        <v>2.2983870967741939</v>
      </c>
      <c r="HD29" s="8">
        <v>0</v>
      </c>
      <c r="HE29" s="6">
        <f t="shared" si="395"/>
        <v>72.647849462365585</v>
      </c>
      <c r="HF29" s="6">
        <f t="shared" si="396"/>
        <v>72.647849462365585</v>
      </c>
      <c r="HG29" s="18">
        <f t="shared" si="397"/>
        <v>42.752293577981654</v>
      </c>
      <c r="HH29" s="6">
        <f>(HJ29/($GT$4*HK29))*100</f>
        <v>20.091397849462368</v>
      </c>
      <c r="HI29" s="6">
        <f>SUM(GV29:GX29,GZ29,HB29)</f>
        <v>744</v>
      </c>
      <c r="HJ29" s="86">
        <v>7474</v>
      </c>
      <c r="HK29" s="8">
        <v>50</v>
      </c>
      <c r="HM29" s="74"/>
      <c r="HN29" s="37" t="s">
        <v>52</v>
      </c>
      <c r="HO29" s="52">
        <v>719.3</v>
      </c>
      <c r="HP29" s="52">
        <v>457.4</v>
      </c>
      <c r="HQ29" s="52">
        <v>261.89999999999998</v>
      </c>
      <c r="HR29" s="52">
        <v>0.7</v>
      </c>
      <c r="HS29" s="6">
        <f>(HR29/$HN$4)*100</f>
        <v>9.7222222222222224E-2</v>
      </c>
      <c r="HT29" s="52">
        <v>0</v>
      </c>
      <c r="HU29" s="6">
        <f>(HT29/$HN$4)*100</f>
        <v>0</v>
      </c>
      <c r="HV29" s="52">
        <v>0</v>
      </c>
      <c r="HW29" s="6">
        <f>(HV29/$HN$4)*100</f>
        <v>0</v>
      </c>
      <c r="HX29" s="8">
        <v>0</v>
      </c>
      <c r="HY29" s="6">
        <f>(HO29/$HN$4)*100</f>
        <v>99.902777777777771</v>
      </c>
      <c r="HZ29" s="6">
        <f t="shared" si="404"/>
        <v>99.902777777777771</v>
      </c>
      <c r="IA29" s="18">
        <f t="shared" si="405"/>
        <v>0.15280506439642</v>
      </c>
      <c r="IB29" s="6">
        <f>(ID29/($HN$4*IE29))*100</f>
        <v>43.916666666666664</v>
      </c>
      <c r="IC29" s="6">
        <f>SUM(HP29:HR29,HT29,HV29)</f>
        <v>720</v>
      </c>
      <c r="ID29" s="54">
        <v>15810</v>
      </c>
      <c r="IE29" s="8">
        <v>50</v>
      </c>
      <c r="IF29" s="15">
        <v>50</v>
      </c>
    </row>
    <row r="30" spans="1:240" ht="14.25" x14ac:dyDescent="0.25">
      <c r="B30" s="37" t="s">
        <v>53</v>
      </c>
      <c r="C30" s="8">
        <v>0</v>
      </c>
      <c r="D30" s="8">
        <v>0</v>
      </c>
      <c r="E30" s="8">
        <v>0</v>
      </c>
      <c r="F30" s="8">
        <v>0</v>
      </c>
      <c r="G30" s="6">
        <f t="shared" si="339"/>
        <v>0</v>
      </c>
      <c r="H30" s="8">
        <v>744</v>
      </c>
      <c r="I30" s="6">
        <f t="shared" si="340"/>
        <v>100</v>
      </c>
      <c r="J30" s="6">
        <v>0</v>
      </c>
      <c r="K30" s="6">
        <f t="shared" si="341"/>
        <v>0</v>
      </c>
      <c r="L30" s="8">
        <v>0</v>
      </c>
      <c r="M30" s="6">
        <f t="shared" ref="M30" si="434">(C30/$B$4)*100</f>
        <v>0</v>
      </c>
      <c r="N30" s="6">
        <f t="shared" si="279"/>
        <v>0</v>
      </c>
      <c r="O30" s="6">
        <f t="shared" si="116"/>
        <v>0</v>
      </c>
      <c r="P30" s="6">
        <f t="shared" si="343"/>
        <v>0</v>
      </c>
      <c r="Q30" s="6">
        <f t="shared" si="344"/>
        <v>744</v>
      </c>
      <c r="R30" s="8">
        <v>0</v>
      </c>
      <c r="S30" s="8">
        <v>50</v>
      </c>
      <c r="V30" s="37" t="s">
        <v>53</v>
      </c>
      <c r="W30" s="6">
        <f t="shared" si="345"/>
        <v>0</v>
      </c>
      <c r="X30" s="8">
        <v>0</v>
      </c>
      <c r="Y30" s="8">
        <v>0</v>
      </c>
      <c r="Z30" s="8">
        <v>0</v>
      </c>
      <c r="AA30" s="8">
        <f t="shared" si="117"/>
        <v>0</v>
      </c>
      <c r="AB30" s="8">
        <v>744</v>
      </c>
      <c r="AC30" s="8">
        <f t="shared" si="118"/>
        <v>100</v>
      </c>
      <c r="AD30" s="8">
        <v>0</v>
      </c>
      <c r="AE30" s="6">
        <f t="shared" si="346"/>
        <v>0</v>
      </c>
      <c r="AF30" s="8">
        <v>0</v>
      </c>
      <c r="AG30" s="6">
        <f t="shared" si="347"/>
        <v>0</v>
      </c>
      <c r="AH30" s="8">
        <f t="shared" si="119"/>
        <v>0</v>
      </c>
      <c r="AI30" s="15">
        <f t="shared" si="120"/>
        <v>0</v>
      </c>
      <c r="AJ30" s="6">
        <f t="shared" si="348"/>
        <v>0</v>
      </c>
      <c r="AK30" s="6">
        <f t="shared" si="349"/>
        <v>744</v>
      </c>
      <c r="AL30" s="8">
        <v>0</v>
      </c>
      <c r="AM30" s="8">
        <v>50</v>
      </c>
      <c r="AP30" s="37" t="s">
        <v>53</v>
      </c>
      <c r="AQ30" s="8">
        <v>0</v>
      </c>
      <c r="AR30" s="8">
        <v>0</v>
      </c>
      <c r="AS30" s="8">
        <v>0</v>
      </c>
      <c r="AT30" s="8">
        <v>0</v>
      </c>
      <c r="AU30" s="8">
        <f t="shared" si="121"/>
        <v>0</v>
      </c>
      <c r="AV30" s="8">
        <v>720</v>
      </c>
      <c r="AW30" s="8">
        <f t="shared" si="122"/>
        <v>100</v>
      </c>
      <c r="AX30" s="8">
        <v>0</v>
      </c>
      <c r="AY30" s="6">
        <f t="shared" si="350"/>
        <v>0</v>
      </c>
      <c r="AZ30" s="8">
        <v>0</v>
      </c>
      <c r="BA30" s="6">
        <f t="shared" si="351"/>
        <v>0</v>
      </c>
      <c r="BB30" s="8">
        <f t="shared" si="123"/>
        <v>0</v>
      </c>
      <c r="BC30" s="15">
        <f t="shared" si="124"/>
        <v>0</v>
      </c>
      <c r="BD30" s="6">
        <f t="shared" si="412"/>
        <v>0</v>
      </c>
      <c r="BE30" s="6">
        <f t="shared" si="353"/>
        <v>720</v>
      </c>
      <c r="BF30" s="8">
        <v>0</v>
      </c>
      <c r="BG30" s="8">
        <v>50</v>
      </c>
      <c r="BJ30" s="37" t="s">
        <v>53</v>
      </c>
      <c r="BK30" s="8">
        <v>0</v>
      </c>
      <c r="BL30" s="8">
        <v>0</v>
      </c>
      <c r="BM30" s="8">
        <v>0</v>
      </c>
      <c r="BN30" s="8">
        <v>0</v>
      </c>
      <c r="BO30" s="15">
        <f t="shared" si="126"/>
        <v>0</v>
      </c>
      <c r="BP30" s="8">
        <v>744</v>
      </c>
      <c r="BQ30" s="8">
        <f t="shared" si="127"/>
        <v>100</v>
      </c>
      <c r="BR30" s="8">
        <v>0</v>
      </c>
      <c r="BS30" s="6">
        <f t="shared" si="354"/>
        <v>0</v>
      </c>
      <c r="BT30" s="8">
        <v>0</v>
      </c>
      <c r="BU30" s="6">
        <f t="shared" si="355"/>
        <v>0</v>
      </c>
      <c r="BV30" s="6">
        <f t="shared" si="128"/>
        <v>0</v>
      </c>
      <c r="BW30" s="6">
        <f t="shared" si="129"/>
        <v>0</v>
      </c>
      <c r="BX30" s="6">
        <f t="shared" si="356"/>
        <v>8.0645161290322578E-3</v>
      </c>
      <c r="BY30" s="6">
        <f t="shared" si="357"/>
        <v>744</v>
      </c>
      <c r="BZ30" s="8">
        <v>3</v>
      </c>
      <c r="CA30" s="8">
        <v>50</v>
      </c>
      <c r="CD30" s="37" t="s">
        <v>53</v>
      </c>
      <c r="CE30" s="8">
        <v>0</v>
      </c>
      <c r="CF30" s="8">
        <v>0</v>
      </c>
      <c r="CG30" s="8">
        <v>0</v>
      </c>
      <c r="CH30" s="8">
        <v>0</v>
      </c>
      <c r="CI30" s="6">
        <f t="shared" si="413"/>
        <v>0</v>
      </c>
      <c r="CJ30" s="8">
        <v>720</v>
      </c>
      <c r="CK30" s="6">
        <f t="shared" si="414"/>
        <v>100</v>
      </c>
      <c r="CL30" s="6">
        <v>0</v>
      </c>
      <c r="CM30" s="6">
        <f t="shared" si="359"/>
        <v>0</v>
      </c>
      <c r="CN30" s="8">
        <v>0</v>
      </c>
      <c r="CO30" s="6">
        <f t="shared" si="360"/>
        <v>0</v>
      </c>
      <c r="CP30" s="6">
        <f t="shared" si="132"/>
        <v>0</v>
      </c>
      <c r="CQ30" s="18">
        <f t="shared" si="415"/>
        <v>0</v>
      </c>
      <c r="CR30" s="6">
        <f t="shared" si="362"/>
        <v>0</v>
      </c>
      <c r="CS30" s="6">
        <f t="shared" si="363"/>
        <v>720</v>
      </c>
      <c r="CT30" s="8">
        <v>0</v>
      </c>
      <c r="CU30" s="8">
        <v>50</v>
      </c>
      <c r="CX30" s="37" t="s">
        <v>53</v>
      </c>
      <c r="CY30" s="8">
        <v>115</v>
      </c>
      <c r="CZ30" s="8">
        <v>22.3</v>
      </c>
      <c r="DA30" s="8">
        <v>92.7</v>
      </c>
      <c r="DB30" s="8">
        <v>12.5</v>
      </c>
      <c r="DC30" s="6">
        <f t="shared" si="416"/>
        <v>1.6801075268817203</v>
      </c>
      <c r="DD30" s="8">
        <v>616.5</v>
      </c>
      <c r="DE30" s="6">
        <f t="shared" si="417"/>
        <v>82.862903225806448</v>
      </c>
      <c r="DF30" s="6">
        <v>0</v>
      </c>
      <c r="DG30" s="6">
        <f t="shared" si="364"/>
        <v>0</v>
      </c>
      <c r="DH30" s="8">
        <v>0</v>
      </c>
      <c r="DI30" s="6">
        <f t="shared" si="365"/>
        <v>15.456989247311828</v>
      </c>
      <c r="DJ30" s="6">
        <f t="shared" si="418"/>
        <v>15.456989247311828</v>
      </c>
      <c r="DK30" s="18">
        <f t="shared" si="419"/>
        <v>35.919540229885058</v>
      </c>
      <c r="DL30" s="6">
        <f t="shared" si="366"/>
        <v>1.803763440860215</v>
      </c>
      <c r="DM30" s="6">
        <f t="shared" si="367"/>
        <v>744</v>
      </c>
      <c r="DN30" s="8">
        <v>671</v>
      </c>
      <c r="DO30" s="8">
        <v>50</v>
      </c>
      <c r="DR30" s="37" t="s">
        <v>53</v>
      </c>
      <c r="DS30" s="8">
        <v>12.200000000000045</v>
      </c>
      <c r="DT30" s="8">
        <v>12.200000000000045</v>
      </c>
      <c r="DU30" s="8">
        <v>0</v>
      </c>
      <c r="DV30" s="8">
        <v>731.8</v>
      </c>
      <c r="DW30" s="6">
        <f t="shared" si="420"/>
        <v>98.36021505376344</v>
      </c>
      <c r="DX30" s="8">
        <v>0</v>
      </c>
      <c r="DY30" s="6">
        <f t="shared" si="421"/>
        <v>0</v>
      </c>
      <c r="DZ30" s="6">
        <v>0</v>
      </c>
      <c r="EA30" s="6">
        <f t="shared" si="370"/>
        <v>0</v>
      </c>
      <c r="EB30" s="8">
        <v>0</v>
      </c>
      <c r="EC30" s="6">
        <f t="shared" si="371"/>
        <v>1.6397849462365652</v>
      </c>
      <c r="ED30" s="6">
        <f t="shared" si="422"/>
        <v>1.6397849462365652</v>
      </c>
      <c r="EE30" s="18">
        <f t="shared" si="423"/>
        <v>98.36021505376344</v>
      </c>
      <c r="EF30" s="6">
        <f t="shared" si="374"/>
        <v>1.8252688172043012</v>
      </c>
      <c r="EG30" s="6">
        <f t="shared" si="375"/>
        <v>744</v>
      </c>
      <c r="EH30" s="8">
        <v>679</v>
      </c>
      <c r="EI30" s="8">
        <v>50</v>
      </c>
      <c r="EL30" s="37" t="s">
        <v>53</v>
      </c>
      <c r="EM30" s="17">
        <v>0</v>
      </c>
      <c r="EN30" s="20">
        <v>0</v>
      </c>
      <c r="EO30" s="20">
        <v>0</v>
      </c>
      <c r="EP30" s="8">
        <v>672</v>
      </c>
      <c r="EQ30" s="6">
        <f t="shared" si="424"/>
        <v>100</v>
      </c>
      <c r="ER30" s="20">
        <v>0</v>
      </c>
      <c r="ES30" s="6">
        <f t="shared" si="425"/>
        <v>0</v>
      </c>
      <c r="ET30" s="6">
        <v>0</v>
      </c>
      <c r="EU30" s="6">
        <f t="shared" si="376"/>
        <v>0</v>
      </c>
      <c r="EV30" s="8">
        <v>0</v>
      </c>
      <c r="EW30" s="6">
        <f t="shared" si="377"/>
        <v>0</v>
      </c>
      <c r="EX30" s="6">
        <f t="shared" si="426"/>
        <v>0</v>
      </c>
      <c r="EY30" s="18">
        <f t="shared" si="427"/>
        <v>100</v>
      </c>
      <c r="EZ30" s="6">
        <f t="shared" si="379"/>
        <v>0</v>
      </c>
      <c r="FA30" s="6">
        <f t="shared" si="380"/>
        <v>672</v>
      </c>
      <c r="FB30" s="8">
        <v>0</v>
      </c>
      <c r="FC30" s="8">
        <v>50</v>
      </c>
      <c r="FF30" s="37" t="s">
        <v>53</v>
      </c>
      <c r="FG30" s="8">
        <v>0</v>
      </c>
      <c r="FH30" s="8">
        <v>0</v>
      </c>
      <c r="FI30" s="8">
        <v>0</v>
      </c>
      <c r="FJ30" s="8">
        <v>744</v>
      </c>
      <c r="FK30" s="6">
        <f>(FJ30/$FF$4)*100</f>
        <v>100</v>
      </c>
      <c r="FL30" s="8">
        <v>0</v>
      </c>
      <c r="FM30" s="6">
        <f>(FL30/$FF$4)*100</f>
        <v>0</v>
      </c>
      <c r="FN30" s="6">
        <v>0</v>
      </c>
      <c r="FO30" s="6">
        <f t="shared" si="382"/>
        <v>0</v>
      </c>
      <c r="FP30" s="8">
        <v>0</v>
      </c>
      <c r="FQ30" s="6">
        <f t="shared" si="383"/>
        <v>0</v>
      </c>
      <c r="FR30" s="6">
        <f>((FG30-FP30)/$FF$4)*100</f>
        <v>0</v>
      </c>
      <c r="FS30" s="18">
        <f t="shared" si="143"/>
        <v>100</v>
      </c>
      <c r="FT30" s="6">
        <f t="shared" si="385"/>
        <v>0</v>
      </c>
      <c r="FU30" s="6">
        <f t="shared" si="386"/>
        <v>744</v>
      </c>
      <c r="FV30" s="8">
        <v>0</v>
      </c>
      <c r="FW30" s="8">
        <v>50</v>
      </c>
      <c r="FZ30" s="37" t="s">
        <v>53</v>
      </c>
      <c r="GA30" s="8">
        <v>0</v>
      </c>
      <c r="GB30" s="8">
        <v>0</v>
      </c>
      <c r="GC30" s="8">
        <v>0</v>
      </c>
      <c r="GD30" s="8">
        <v>720</v>
      </c>
      <c r="GE30" s="6">
        <f t="shared" si="387"/>
        <v>1</v>
      </c>
      <c r="GF30" s="8">
        <v>0</v>
      </c>
      <c r="GG30" s="6">
        <f t="shared" si="431"/>
        <v>0</v>
      </c>
      <c r="GH30" s="6">
        <v>0</v>
      </c>
      <c r="GI30" s="6">
        <f t="shared" si="389"/>
        <v>0</v>
      </c>
      <c r="GJ30" s="8">
        <v>0</v>
      </c>
      <c r="GK30" s="6">
        <f t="shared" si="390"/>
        <v>0</v>
      </c>
      <c r="GL30" s="6">
        <f t="shared" si="432"/>
        <v>0</v>
      </c>
      <c r="GM30" s="18">
        <f t="shared" si="433"/>
        <v>100</v>
      </c>
      <c r="GN30" s="6">
        <f t="shared" si="392"/>
        <v>0</v>
      </c>
      <c r="GO30" s="6">
        <f t="shared" si="393"/>
        <v>720</v>
      </c>
      <c r="GP30" s="8">
        <v>0</v>
      </c>
      <c r="GQ30" s="8">
        <v>50</v>
      </c>
      <c r="GT30" s="37" t="s">
        <v>53</v>
      </c>
      <c r="GU30" s="8">
        <v>541.9</v>
      </c>
      <c r="GV30" s="8">
        <v>263.10000000000002</v>
      </c>
      <c r="GW30" s="8">
        <v>278.8</v>
      </c>
      <c r="GX30" s="8">
        <v>185</v>
      </c>
      <c r="GY30" s="6">
        <f t="shared" si="338"/>
        <v>24.865591397849464</v>
      </c>
      <c r="GZ30" s="8">
        <v>0</v>
      </c>
      <c r="HA30" s="8">
        <f t="shared" si="338"/>
        <v>0</v>
      </c>
      <c r="HB30" s="8">
        <v>17.100000000000001</v>
      </c>
      <c r="HC30" s="6">
        <f t="shared" si="394"/>
        <v>2.2983870967741939</v>
      </c>
      <c r="HD30" s="8">
        <v>0</v>
      </c>
      <c r="HE30" s="6">
        <f t="shared" si="395"/>
        <v>72.836021505376337</v>
      </c>
      <c r="HF30" s="6">
        <f t="shared" si="396"/>
        <v>72.836021505376337</v>
      </c>
      <c r="HG30" s="18">
        <f t="shared" si="397"/>
        <v>41.285427359964295</v>
      </c>
      <c r="HH30" s="6">
        <f t="shared" si="398"/>
        <v>21.00537634408602</v>
      </c>
      <c r="HI30" s="6">
        <f t="shared" si="399"/>
        <v>744.00000000000011</v>
      </c>
      <c r="HJ30" s="86">
        <v>7814</v>
      </c>
      <c r="HK30" s="8">
        <v>50</v>
      </c>
      <c r="HN30" s="37" t="s">
        <v>53</v>
      </c>
      <c r="HO30" s="52">
        <v>717.3</v>
      </c>
      <c r="HP30" s="52">
        <v>401.5</v>
      </c>
      <c r="HQ30" s="52">
        <v>315.8</v>
      </c>
      <c r="HR30" s="52">
        <v>0</v>
      </c>
      <c r="HS30" s="6">
        <f t="shared" si="400"/>
        <v>0</v>
      </c>
      <c r="HT30" s="52">
        <v>0</v>
      </c>
      <c r="HU30" s="6">
        <f t="shared" ref="HU30:HU32" si="435">(HT30/$HN$4)*100</f>
        <v>0</v>
      </c>
      <c r="HV30" s="52">
        <v>2.7</v>
      </c>
      <c r="HW30" s="6">
        <f t="shared" ref="HW30:HW32" si="436">(HV30/$HN$4)*100</f>
        <v>0.37500000000000006</v>
      </c>
      <c r="HX30" s="8">
        <v>0</v>
      </c>
      <c r="HY30" s="6">
        <f t="shared" ref="HY30:HY32" si="437">(HO30/$HN$4)*100</f>
        <v>99.625</v>
      </c>
      <c r="HZ30" s="6">
        <f t="shared" si="404"/>
        <v>99.625</v>
      </c>
      <c r="IA30" s="18">
        <f t="shared" si="405"/>
        <v>0</v>
      </c>
      <c r="IB30" s="6">
        <f t="shared" ref="IB30:IB32" si="438">(ID30/($HN$4*IE30))*100</f>
        <v>37.81388888888889</v>
      </c>
      <c r="IC30" s="6">
        <f t="shared" si="407"/>
        <v>720</v>
      </c>
      <c r="ID30" s="54">
        <v>13613</v>
      </c>
      <c r="IE30" s="8">
        <v>50</v>
      </c>
      <c r="IF30" s="15">
        <v>50</v>
      </c>
    </row>
    <row r="31" spans="1:240" ht="14.25" x14ac:dyDescent="0.25">
      <c r="B31" s="37" t="s">
        <v>54</v>
      </c>
      <c r="C31" s="8">
        <v>0</v>
      </c>
      <c r="D31" s="8">
        <v>0</v>
      </c>
      <c r="E31" s="8">
        <v>0</v>
      </c>
      <c r="F31" s="8">
        <v>0</v>
      </c>
      <c r="G31" s="6">
        <f t="shared" si="339"/>
        <v>0</v>
      </c>
      <c r="H31" s="8">
        <v>744</v>
      </c>
      <c r="I31" s="6">
        <f t="shared" si="340"/>
        <v>100</v>
      </c>
      <c r="J31" s="6">
        <v>0</v>
      </c>
      <c r="K31" s="6">
        <f t="shared" si="341"/>
        <v>0</v>
      </c>
      <c r="L31" s="8">
        <v>0</v>
      </c>
      <c r="M31" s="6">
        <f>(C31/$B$4)*100</f>
        <v>0</v>
      </c>
      <c r="N31" s="6">
        <f t="shared" si="279"/>
        <v>0</v>
      </c>
      <c r="O31" s="6">
        <f t="shared" si="116"/>
        <v>0</v>
      </c>
      <c r="P31" s="6">
        <f t="shared" si="343"/>
        <v>0</v>
      </c>
      <c r="Q31" s="6">
        <f t="shared" si="344"/>
        <v>744</v>
      </c>
      <c r="R31" s="8">
        <v>0</v>
      </c>
      <c r="S31" s="8">
        <v>50</v>
      </c>
      <c r="V31" s="37" t="s">
        <v>54</v>
      </c>
      <c r="W31" s="6">
        <f t="shared" si="345"/>
        <v>0</v>
      </c>
      <c r="X31" s="8">
        <v>0</v>
      </c>
      <c r="Y31" s="8">
        <v>0</v>
      </c>
      <c r="Z31" s="8">
        <v>0</v>
      </c>
      <c r="AA31" s="8">
        <f t="shared" si="117"/>
        <v>0</v>
      </c>
      <c r="AB31" s="8">
        <v>744</v>
      </c>
      <c r="AC31" s="8">
        <f t="shared" si="118"/>
        <v>100</v>
      </c>
      <c r="AD31" s="8">
        <v>0</v>
      </c>
      <c r="AE31" s="6">
        <f t="shared" si="346"/>
        <v>0</v>
      </c>
      <c r="AF31" s="8">
        <v>0</v>
      </c>
      <c r="AG31" s="6">
        <f t="shared" si="347"/>
        <v>0</v>
      </c>
      <c r="AH31" s="8">
        <f t="shared" si="119"/>
        <v>0</v>
      </c>
      <c r="AI31" s="15">
        <f t="shared" si="120"/>
        <v>0</v>
      </c>
      <c r="AJ31" s="6">
        <f t="shared" si="348"/>
        <v>0</v>
      </c>
      <c r="AK31" s="6">
        <f t="shared" si="349"/>
        <v>744</v>
      </c>
      <c r="AL31" s="8">
        <v>0</v>
      </c>
      <c r="AM31" s="8">
        <v>50</v>
      </c>
      <c r="AP31" s="37" t="s">
        <v>54</v>
      </c>
      <c r="AQ31" s="8">
        <v>0</v>
      </c>
      <c r="AR31" s="8">
        <v>0</v>
      </c>
      <c r="AS31" s="8">
        <v>0</v>
      </c>
      <c r="AT31" s="8">
        <v>0</v>
      </c>
      <c r="AU31" s="8">
        <f t="shared" si="121"/>
        <v>0</v>
      </c>
      <c r="AV31" s="8">
        <v>720</v>
      </c>
      <c r="AW31" s="8">
        <f t="shared" si="122"/>
        <v>100</v>
      </c>
      <c r="AX31" s="8">
        <v>0</v>
      </c>
      <c r="AY31" s="6">
        <f t="shared" si="350"/>
        <v>0</v>
      </c>
      <c r="AZ31" s="8">
        <v>0</v>
      </c>
      <c r="BA31" s="6">
        <f t="shared" si="351"/>
        <v>0</v>
      </c>
      <c r="BB31" s="8">
        <f t="shared" si="123"/>
        <v>0</v>
      </c>
      <c r="BC31" s="15">
        <f t="shared" si="124"/>
        <v>0</v>
      </c>
      <c r="BD31" s="6">
        <f t="shared" si="412"/>
        <v>0</v>
      </c>
      <c r="BE31" s="6">
        <f t="shared" si="353"/>
        <v>720</v>
      </c>
      <c r="BF31" s="8">
        <v>0</v>
      </c>
      <c r="BG31" s="8">
        <v>50</v>
      </c>
      <c r="BJ31" s="37" t="s">
        <v>54</v>
      </c>
      <c r="BK31" s="8">
        <v>4</v>
      </c>
      <c r="BL31" s="8">
        <v>0</v>
      </c>
      <c r="BM31" s="8">
        <v>4</v>
      </c>
      <c r="BN31" s="8">
        <v>0</v>
      </c>
      <c r="BO31" s="15">
        <f t="shared" si="126"/>
        <v>0</v>
      </c>
      <c r="BP31" s="8">
        <v>740</v>
      </c>
      <c r="BQ31" s="6">
        <f t="shared" si="127"/>
        <v>99.462365591397855</v>
      </c>
      <c r="BR31" s="8">
        <v>0</v>
      </c>
      <c r="BS31" s="6">
        <f t="shared" si="354"/>
        <v>0</v>
      </c>
      <c r="BT31" s="8">
        <v>0</v>
      </c>
      <c r="BU31" s="6">
        <f t="shared" si="355"/>
        <v>0.53763440860215062</v>
      </c>
      <c r="BV31" s="6">
        <f t="shared" si="128"/>
        <v>0.53763440860215062</v>
      </c>
      <c r="BW31" s="6">
        <f t="shared" si="129"/>
        <v>0</v>
      </c>
      <c r="BX31" s="6">
        <f t="shared" si="356"/>
        <v>0</v>
      </c>
      <c r="BY31" s="6">
        <f t="shared" si="357"/>
        <v>744</v>
      </c>
      <c r="BZ31" s="8">
        <v>0</v>
      </c>
      <c r="CA31" s="8">
        <v>50</v>
      </c>
      <c r="CD31" s="37" t="s">
        <v>54</v>
      </c>
      <c r="CE31" s="8">
        <v>0</v>
      </c>
      <c r="CF31" s="8">
        <v>0</v>
      </c>
      <c r="CG31" s="8">
        <v>0</v>
      </c>
      <c r="CH31" s="8">
        <v>0</v>
      </c>
      <c r="CI31" s="6">
        <f t="shared" si="413"/>
        <v>0</v>
      </c>
      <c r="CJ31" s="8">
        <v>720</v>
      </c>
      <c r="CK31" s="6">
        <f t="shared" si="414"/>
        <v>100</v>
      </c>
      <c r="CL31" s="6">
        <v>0</v>
      </c>
      <c r="CM31" s="6">
        <f t="shared" si="359"/>
        <v>0</v>
      </c>
      <c r="CN31" s="8">
        <v>0</v>
      </c>
      <c r="CO31" s="6">
        <f t="shared" si="360"/>
        <v>0</v>
      </c>
      <c r="CP31" s="6">
        <f t="shared" si="132"/>
        <v>0</v>
      </c>
      <c r="CQ31" s="18">
        <f t="shared" si="415"/>
        <v>0</v>
      </c>
      <c r="CR31" s="6">
        <f t="shared" si="362"/>
        <v>0</v>
      </c>
      <c r="CS31" s="6">
        <f t="shared" si="363"/>
        <v>720</v>
      </c>
      <c r="CT31" s="8">
        <v>0</v>
      </c>
      <c r="CU31" s="8">
        <v>50</v>
      </c>
      <c r="CX31" s="37" t="s">
        <v>54</v>
      </c>
      <c r="CY31" s="8">
        <v>0</v>
      </c>
      <c r="CZ31" s="8">
        <v>0</v>
      </c>
      <c r="DA31" s="8">
        <v>0</v>
      </c>
      <c r="DB31" s="8">
        <v>0</v>
      </c>
      <c r="DC31" s="6">
        <f t="shared" si="416"/>
        <v>0</v>
      </c>
      <c r="DD31" s="8">
        <v>744</v>
      </c>
      <c r="DE31" s="6">
        <f t="shared" si="417"/>
        <v>100</v>
      </c>
      <c r="DF31" s="6">
        <v>0</v>
      </c>
      <c r="DG31" s="6">
        <f t="shared" si="364"/>
        <v>0</v>
      </c>
      <c r="DH31" s="8">
        <v>0</v>
      </c>
      <c r="DI31" s="6">
        <f t="shared" si="365"/>
        <v>0</v>
      </c>
      <c r="DJ31" s="6">
        <f t="shared" si="418"/>
        <v>0</v>
      </c>
      <c r="DK31" s="18">
        <f t="shared" si="419"/>
        <v>0</v>
      </c>
      <c r="DL31" s="6">
        <f t="shared" si="366"/>
        <v>0</v>
      </c>
      <c r="DM31" s="6">
        <f t="shared" si="367"/>
        <v>744</v>
      </c>
      <c r="DN31" s="8">
        <v>0</v>
      </c>
      <c r="DO31" s="8">
        <v>50</v>
      </c>
      <c r="DR31" s="37" t="s">
        <v>54</v>
      </c>
      <c r="DS31" s="8">
        <v>0</v>
      </c>
      <c r="DT31" s="8">
        <v>0</v>
      </c>
      <c r="DU31" s="8">
        <v>0</v>
      </c>
      <c r="DV31" s="8">
        <v>0</v>
      </c>
      <c r="DW31" s="6">
        <f t="shared" si="420"/>
        <v>0</v>
      </c>
      <c r="DX31" s="8">
        <v>744</v>
      </c>
      <c r="DY31" s="6">
        <f t="shared" si="421"/>
        <v>100</v>
      </c>
      <c r="DZ31" s="6">
        <v>0</v>
      </c>
      <c r="EA31" s="6">
        <f t="shared" si="370"/>
        <v>0</v>
      </c>
      <c r="EB31" s="8">
        <v>0</v>
      </c>
      <c r="EC31" s="6">
        <f t="shared" si="371"/>
        <v>0</v>
      </c>
      <c r="ED31" s="6">
        <f t="shared" si="422"/>
        <v>0</v>
      </c>
      <c r="EE31" s="18">
        <f t="shared" si="423"/>
        <v>0</v>
      </c>
      <c r="EF31" s="6">
        <f t="shared" si="374"/>
        <v>0</v>
      </c>
      <c r="EG31" s="6">
        <f t="shared" si="375"/>
        <v>744</v>
      </c>
      <c r="EH31" s="8">
        <v>0</v>
      </c>
      <c r="EI31" s="8">
        <v>50</v>
      </c>
      <c r="EL31" s="37" t="s">
        <v>54</v>
      </c>
      <c r="EM31" s="17">
        <v>0</v>
      </c>
      <c r="EN31" s="20">
        <v>0</v>
      </c>
      <c r="EO31" s="20">
        <v>0</v>
      </c>
      <c r="EP31" s="8">
        <v>0</v>
      </c>
      <c r="EQ31" s="6">
        <f t="shared" si="424"/>
        <v>0</v>
      </c>
      <c r="ER31" s="20">
        <v>672</v>
      </c>
      <c r="ES31" s="6">
        <f t="shared" si="425"/>
        <v>100</v>
      </c>
      <c r="ET31" s="6">
        <v>0</v>
      </c>
      <c r="EU31" s="6">
        <f t="shared" si="376"/>
        <v>0</v>
      </c>
      <c r="EV31" s="8">
        <v>0</v>
      </c>
      <c r="EW31" s="6">
        <f t="shared" si="377"/>
        <v>0</v>
      </c>
      <c r="EX31" s="6">
        <f t="shared" si="426"/>
        <v>0</v>
      </c>
      <c r="EY31" s="18">
        <f t="shared" si="427"/>
        <v>0</v>
      </c>
      <c r="EZ31" s="6">
        <f t="shared" si="379"/>
        <v>0</v>
      </c>
      <c r="FA31" s="6">
        <f t="shared" si="380"/>
        <v>672</v>
      </c>
      <c r="FB31" s="8">
        <v>0</v>
      </c>
      <c r="FC31" s="8">
        <v>50</v>
      </c>
      <c r="FF31" s="37" t="s">
        <v>54</v>
      </c>
      <c r="FG31" s="8">
        <v>0</v>
      </c>
      <c r="FH31" s="8">
        <v>0</v>
      </c>
      <c r="FI31" s="8">
        <v>0</v>
      </c>
      <c r="FJ31" s="8">
        <v>0</v>
      </c>
      <c r="FK31" s="6">
        <f t="shared" ref="FK31:FK78" si="439">(FJ31/$FF$4)*100</f>
        <v>0</v>
      </c>
      <c r="FL31" s="8">
        <v>744</v>
      </c>
      <c r="FM31" s="6">
        <f t="shared" ref="FM31:FM78" si="440">(FL31/$FF$4)*100</f>
        <v>100</v>
      </c>
      <c r="FN31" s="6">
        <v>0</v>
      </c>
      <c r="FO31" s="6">
        <f t="shared" si="382"/>
        <v>0</v>
      </c>
      <c r="FP31" s="8">
        <v>0</v>
      </c>
      <c r="FQ31" s="6">
        <f t="shared" si="383"/>
        <v>0</v>
      </c>
      <c r="FR31" s="6">
        <f t="shared" ref="FR31:FR32" si="441">((FG31-FP31)/$FF$4)*100</f>
        <v>0</v>
      </c>
      <c r="FS31" s="18">
        <f t="shared" si="143"/>
        <v>0</v>
      </c>
      <c r="FT31" s="6">
        <f t="shared" si="385"/>
        <v>0</v>
      </c>
      <c r="FU31" s="6">
        <f t="shared" si="386"/>
        <v>744</v>
      </c>
      <c r="FV31" s="8">
        <v>0</v>
      </c>
      <c r="FW31" s="8">
        <v>50</v>
      </c>
      <c r="FZ31" s="37" t="s">
        <v>54</v>
      </c>
      <c r="GA31" s="8">
        <v>0</v>
      </c>
      <c r="GB31" s="8">
        <v>0</v>
      </c>
      <c r="GC31" s="8">
        <v>0</v>
      </c>
      <c r="GD31" s="8">
        <v>0</v>
      </c>
      <c r="GE31" s="6">
        <f t="shared" si="387"/>
        <v>0</v>
      </c>
      <c r="GF31" s="8">
        <v>720</v>
      </c>
      <c r="GG31" s="6">
        <f t="shared" si="431"/>
        <v>100</v>
      </c>
      <c r="GH31" s="6">
        <v>0</v>
      </c>
      <c r="GI31" s="6">
        <f t="shared" si="389"/>
        <v>0</v>
      </c>
      <c r="GJ31" s="8">
        <v>0</v>
      </c>
      <c r="GK31" s="6">
        <f t="shared" si="390"/>
        <v>0</v>
      </c>
      <c r="GL31" s="6">
        <f t="shared" si="432"/>
        <v>0</v>
      </c>
      <c r="GM31" s="18">
        <f t="shared" si="433"/>
        <v>0</v>
      </c>
      <c r="GN31" s="6">
        <f t="shared" si="392"/>
        <v>0</v>
      </c>
      <c r="GO31" s="6">
        <f t="shared" si="393"/>
        <v>720</v>
      </c>
      <c r="GP31" s="8">
        <v>0</v>
      </c>
      <c r="GQ31" s="8">
        <v>50</v>
      </c>
      <c r="GT31" s="37" t="s">
        <v>54</v>
      </c>
      <c r="GU31" s="8">
        <v>0</v>
      </c>
      <c r="GV31" s="8">
        <v>0</v>
      </c>
      <c r="GW31" s="8">
        <v>0</v>
      </c>
      <c r="GX31" s="8">
        <v>0</v>
      </c>
      <c r="GY31" s="8">
        <f t="shared" si="338"/>
        <v>0</v>
      </c>
      <c r="GZ31" s="8">
        <v>744</v>
      </c>
      <c r="HA31" s="8">
        <f t="shared" si="338"/>
        <v>100</v>
      </c>
      <c r="HB31" s="8">
        <v>0</v>
      </c>
      <c r="HC31" s="6">
        <f t="shared" si="394"/>
        <v>0</v>
      </c>
      <c r="HD31" s="8">
        <v>0</v>
      </c>
      <c r="HE31" s="6">
        <f t="shared" si="395"/>
        <v>0</v>
      </c>
      <c r="HF31" s="6">
        <f t="shared" si="396"/>
        <v>0</v>
      </c>
      <c r="HG31" s="18">
        <f t="shared" si="397"/>
        <v>0</v>
      </c>
      <c r="HH31" s="6">
        <f t="shared" si="398"/>
        <v>0</v>
      </c>
      <c r="HI31" s="6">
        <f t="shared" si="399"/>
        <v>744</v>
      </c>
      <c r="HJ31" s="8">
        <v>0</v>
      </c>
      <c r="HK31" s="8">
        <v>50</v>
      </c>
      <c r="HN31" s="37" t="s">
        <v>54</v>
      </c>
      <c r="HO31" s="52">
        <v>0</v>
      </c>
      <c r="HP31" s="52">
        <v>0</v>
      </c>
      <c r="HQ31" s="52">
        <v>0</v>
      </c>
      <c r="HR31" s="52">
        <v>0</v>
      </c>
      <c r="HS31" s="6">
        <f t="shared" si="400"/>
        <v>0</v>
      </c>
      <c r="HT31" s="52">
        <v>720</v>
      </c>
      <c r="HU31" s="6">
        <f t="shared" si="435"/>
        <v>100</v>
      </c>
      <c r="HV31" s="52">
        <v>0</v>
      </c>
      <c r="HW31" s="6">
        <f t="shared" si="436"/>
        <v>0</v>
      </c>
      <c r="HX31" s="8">
        <v>0</v>
      </c>
      <c r="HY31" s="6">
        <f t="shared" si="437"/>
        <v>0</v>
      </c>
      <c r="HZ31" s="6">
        <f t="shared" si="404"/>
        <v>0</v>
      </c>
      <c r="IA31" s="18">
        <f t="shared" si="405"/>
        <v>0</v>
      </c>
      <c r="IB31" s="6">
        <f t="shared" si="438"/>
        <v>0</v>
      </c>
      <c r="IC31" s="6">
        <f t="shared" si="407"/>
        <v>720</v>
      </c>
      <c r="ID31" s="54">
        <v>0</v>
      </c>
      <c r="IE31" s="8">
        <v>50</v>
      </c>
      <c r="IF31" s="15">
        <v>0</v>
      </c>
    </row>
    <row r="32" spans="1:240" ht="14.25" x14ac:dyDescent="0.25">
      <c r="B32" s="37" t="s">
        <v>55</v>
      </c>
      <c r="C32" s="8">
        <v>735.5</v>
      </c>
      <c r="D32" s="8">
        <v>215.9</v>
      </c>
      <c r="E32" s="8">
        <v>519.6</v>
      </c>
      <c r="F32" s="8">
        <v>0</v>
      </c>
      <c r="G32" s="6">
        <f t="shared" si="339"/>
        <v>0</v>
      </c>
      <c r="H32" s="8">
        <v>0</v>
      </c>
      <c r="I32" s="6">
        <f t="shared" si="340"/>
        <v>0</v>
      </c>
      <c r="J32" s="6">
        <v>8.5</v>
      </c>
      <c r="K32" s="6">
        <f t="shared" si="341"/>
        <v>1.14247311827957</v>
      </c>
      <c r="L32" s="8">
        <v>0</v>
      </c>
      <c r="M32" s="6">
        <f t="shared" ref="M32" si="442">(C32/$B$4)*100</f>
        <v>98.857526881720432</v>
      </c>
      <c r="N32" s="6">
        <f t="shared" si="279"/>
        <v>98.857526881720432</v>
      </c>
      <c r="O32" s="6">
        <f t="shared" si="116"/>
        <v>0</v>
      </c>
      <c r="P32" s="6">
        <f t="shared" si="343"/>
        <v>18.96505376344086</v>
      </c>
      <c r="Q32" s="6">
        <f t="shared" si="344"/>
        <v>744</v>
      </c>
      <c r="R32" s="86">
        <v>7055</v>
      </c>
      <c r="S32" s="8">
        <v>50</v>
      </c>
      <c r="V32" s="37" t="s">
        <v>55</v>
      </c>
      <c r="W32" s="6">
        <f>$V$4-Z32-AB32-AD32</f>
        <v>593</v>
      </c>
      <c r="X32" s="8">
        <v>363.9</v>
      </c>
      <c r="Y32" s="8">
        <v>229.1</v>
      </c>
      <c r="Z32" s="8">
        <v>32.1</v>
      </c>
      <c r="AA32" s="6">
        <f t="shared" si="117"/>
        <v>4.314516129032258</v>
      </c>
      <c r="AB32" s="8">
        <v>105.6</v>
      </c>
      <c r="AC32" s="6">
        <f t="shared" si="118"/>
        <v>14.193548387096774</v>
      </c>
      <c r="AD32" s="6">
        <v>13.3</v>
      </c>
      <c r="AE32" s="6">
        <f t="shared" si="346"/>
        <v>1.7876344086021505</v>
      </c>
      <c r="AF32" s="8">
        <v>0</v>
      </c>
      <c r="AG32" s="6">
        <f t="shared" si="347"/>
        <v>79.704301075268816</v>
      </c>
      <c r="AH32" s="6">
        <f t="shared" si="119"/>
        <v>79.704301075268816</v>
      </c>
      <c r="AI32" s="6">
        <f t="shared" si="120"/>
        <v>8.1060606060606073</v>
      </c>
      <c r="AJ32" s="6">
        <f t="shared" si="348"/>
        <v>33.306451612903224</v>
      </c>
      <c r="AK32" s="6">
        <f t="shared" si="349"/>
        <v>744</v>
      </c>
      <c r="AL32" s="86">
        <v>12390</v>
      </c>
      <c r="AM32" s="8">
        <v>50</v>
      </c>
      <c r="AP32" s="37" t="s">
        <v>55</v>
      </c>
      <c r="AQ32" s="8">
        <v>709.1</v>
      </c>
      <c r="AR32" s="8">
        <v>355.9</v>
      </c>
      <c r="AS32" s="8">
        <v>353.2</v>
      </c>
      <c r="AT32" s="8">
        <v>0</v>
      </c>
      <c r="AU32" s="8">
        <f t="shared" si="121"/>
        <v>0</v>
      </c>
      <c r="AV32" s="8">
        <v>0</v>
      </c>
      <c r="AW32" s="8">
        <f t="shared" si="122"/>
        <v>0</v>
      </c>
      <c r="AX32" s="8">
        <v>10.9</v>
      </c>
      <c r="AY32" s="6">
        <f t="shared" si="350"/>
        <v>1.5138888888888888</v>
      </c>
      <c r="AZ32" s="8">
        <v>0</v>
      </c>
      <c r="BA32" s="6">
        <f t="shared" si="351"/>
        <v>98.486111111111114</v>
      </c>
      <c r="BB32" s="6">
        <f t="shared" si="123"/>
        <v>98.486111111111114</v>
      </c>
      <c r="BC32" s="15">
        <f t="shared" si="124"/>
        <v>0</v>
      </c>
      <c r="BD32" s="6">
        <f t="shared" si="412"/>
        <v>34.719444444444449</v>
      </c>
      <c r="BE32" s="6">
        <f t="shared" si="353"/>
        <v>719.99999999999989</v>
      </c>
      <c r="BF32" s="86">
        <v>12499</v>
      </c>
      <c r="BG32" s="8">
        <v>50</v>
      </c>
      <c r="BJ32" s="37" t="s">
        <v>55</v>
      </c>
      <c r="BK32" s="8">
        <v>729.3</v>
      </c>
      <c r="BL32" s="8">
        <v>423.7</v>
      </c>
      <c r="BM32" s="8">
        <v>305.60000000000002</v>
      </c>
      <c r="BN32" s="8">
        <v>14.7</v>
      </c>
      <c r="BO32" s="6">
        <f t="shared" si="126"/>
        <v>1.975806451612903</v>
      </c>
      <c r="BP32" s="8">
        <v>0</v>
      </c>
      <c r="BQ32" s="8">
        <f t="shared" si="127"/>
        <v>0</v>
      </c>
      <c r="BR32" s="8">
        <v>0</v>
      </c>
      <c r="BS32" s="6">
        <f t="shared" si="354"/>
        <v>0</v>
      </c>
      <c r="BT32" s="8">
        <v>0</v>
      </c>
      <c r="BU32" s="6">
        <f t="shared" si="355"/>
        <v>98.024193548387089</v>
      </c>
      <c r="BV32" s="6">
        <f t="shared" si="128"/>
        <v>98.024193548387089</v>
      </c>
      <c r="BW32" s="6">
        <f t="shared" si="129"/>
        <v>3.3531021897810218</v>
      </c>
      <c r="BX32" s="6">
        <f t="shared" si="356"/>
        <v>37.583333333333336</v>
      </c>
      <c r="BY32" s="6">
        <f t="shared" si="357"/>
        <v>744</v>
      </c>
      <c r="BZ32" s="86">
        <v>13981</v>
      </c>
      <c r="CA32" s="8">
        <v>50</v>
      </c>
      <c r="CD32" s="37" t="s">
        <v>55</v>
      </c>
      <c r="CE32" s="8">
        <v>687</v>
      </c>
      <c r="CF32" s="8">
        <v>146.1</v>
      </c>
      <c r="CG32" s="8">
        <v>540.9</v>
      </c>
      <c r="CH32" s="8">
        <v>0</v>
      </c>
      <c r="CI32" s="6">
        <f t="shared" si="413"/>
        <v>0</v>
      </c>
      <c r="CJ32" s="8">
        <v>0</v>
      </c>
      <c r="CK32" s="6">
        <f t="shared" si="414"/>
        <v>0</v>
      </c>
      <c r="CL32" s="6">
        <v>33</v>
      </c>
      <c r="CM32" s="6">
        <f t="shared" si="359"/>
        <v>4.583333333333333</v>
      </c>
      <c r="CN32" s="8">
        <v>0</v>
      </c>
      <c r="CO32" s="6">
        <f t="shared" si="360"/>
        <v>95.416666666666671</v>
      </c>
      <c r="CP32" s="6">
        <f t="shared" si="132"/>
        <v>95.416666666666671</v>
      </c>
      <c r="CQ32" s="18">
        <f t="shared" si="415"/>
        <v>0</v>
      </c>
      <c r="CR32" s="6">
        <f t="shared" si="362"/>
        <v>12.436111111111112</v>
      </c>
      <c r="CS32" s="6">
        <f t="shared" si="363"/>
        <v>720</v>
      </c>
      <c r="CT32" s="42">
        <v>4477</v>
      </c>
      <c r="CU32" s="8">
        <v>50</v>
      </c>
      <c r="CX32" s="37" t="s">
        <v>55</v>
      </c>
      <c r="CY32" s="8">
        <v>727.6</v>
      </c>
      <c r="CZ32" s="8">
        <v>227.4</v>
      </c>
      <c r="DA32" s="8">
        <v>500.2</v>
      </c>
      <c r="DB32" s="8">
        <v>16.399999999999999</v>
      </c>
      <c r="DC32" s="6">
        <f t="shared" si="416"/>
        <v>2.204301075268817</v>
      </c>
      <c r="DD32" s="8">
        <v>0</v>
      </c>
      <c r="DE32" s="6">
        <f t="shared" si="417"/>
        <v>0</v>
      </c>
      <c r="DF32" s="6">
        <v>0</v>
      </c>
      <c r="DG32" s="6">
        <f t="shared" si="364"/>
        <v>0</v>
      </c>
      <c r="DH32" s="8">
        <v>0</v>
      </c>
      <c r="DI32" s="6">
        <f t="shared" si="365"/>
        <v>97.795698924731184</v>
      </c>
      <c r="DJ32" s="6">
        <f t="shared" si="418"/>
        <v>97.795698924731184</v>
      </c>
      <c r="DK32" s="18">
        <f t="shared" si="419"/>
        <v>6.7268252666119759</v>
      </c>
      <c r="DL32" s="6">
        <f t="shared" si="366"/>
        <v>17.489247311827956</v>
      </c>
      <c r="DM32" s="6">
        <f t="shared" si="367"/>
        <v>744</v>
      </c>
      <c r="DN32" s="86">
        <v>6506</v>
      </c>
      <c r="DO32" s="8">
        <v>50</v>
      </c>
      <c r="DR32" s="37" t="s">
        <v>55</v>
      </c>
      <c r="DS32" s="8">
        <v>12.200000000000045</v>
      </c>
      <c r="DT32" s="8">
        <v>12.200000000000045</v>
      </c>
      <c r="DU32" s="8">
        <v>0</v>
      </c>
      <c r="DV32" s="8">
        <v>731.8</v>
      </c>
      <c r="DW32" s="6">
        <f t="shared" si="420"/>
        <v>98.36021505376344</v>
      </c>
      <c r="DX32" s="8">
        <v>0</v>
      </c>
      <c r="DY32" s="6">
        <f t="shared" si="421"/>
        <v>0</v>
      </c>
      <c r="DZ32" s="6">
        <v>0</v>
      </c>
      <c r="EA32" s="6">
        <f t="shared" si="370"/>
        <v>0</v>
      </c>
      <c r="EB32" s="8">
        <v>0</v>
      </c>
      <c r="EC32" s="6">
        <f t="shared" si="371"/>
        <v>1.6397849462365652</v>
      </c>
      <c r="ED32" s="6">
        <f t="shared" si="422"/>
        <v>1.6397849462365652</v>
      </c>
      <c r="EE32" s="18">
        <f t="shared" si="423"/>
        <v>98.36021505376344</v>
      </c>
      <c r="EF32" s="6">
        <f t="shared" si="374"/>
        <v>1.8118279569892475</v>
      </c>
      <c r="EG32" s="6">
        <f t="shared" si="375"/>
        <v>744</v>
      </c>
      <c r="EH32" s="8">
        <v>674</v>
      </c>
      <c r="EI32" s="8">
        <v>50</v>
      </c>
      <c r="EL32" s="37" t="s">
        <v>55</v>
      </c>
      <c r="EM32" s="17">
        <v>0</v>
      </c>
      <c r="EN32" s="20">
        <v>0</v>
      </c>
      <c r="EO32" s="20">
        <v>0</v>
      </c>
      <c r="EP32" s="8">
        <v>672</v>
      </c>
      <c r="EQ32" s="6">
        <f t="shared" si="424"/>
        <v>100</v>
      </c>
      <c r="ER32" s="20">
        <v>0</v>
      </c>
      <c r="ES32" s="6">
        <f t="shared" si="425"/>
        <v>0</v>
      </c>
      <c r="ET32" s="6">
        <v>0</v>
      </c>
      <c r="EU32" s="6">
        <f t="shared" si="376"/>
        <v>0</v>
      </c>
      <c r="EV32" s="8">
        <v>0</v>
      </c>
      <c r="EW32" s="6">
        <f t="shared" si="377"/>
        <v>0</v>
      </c>
      <c r="EX32" s="6">
        <f t="shared" si="426"/>
        <v>0</v>
      </c>
      <c r="EY32" s="18">
        <f t="shared" si="427"/>
        <v>100</v>
      </c>
      <c r="EZ32" s="6">
        <f t="shared" si="379"/>
        <v>27.669642857142858</v>
      </c>
      <c r="FA32" s="6">
        <f t="shared" si="380"/>
        <v>672</v>
      </c>
      <c r="FB32" s="42">
        <v>9297</v>
      </c>
      <c r="FC32" s="8">
        <v>50</v>
      </c>
      <c r="FF32" s="37" t="s">
        <v>55</v>
      </c>
      <c r="FG32" s="8">
        <v>0</v>
      </c>
      <c r="FH32" s="8">
        <v>0</v>
      </c>
      <c r="FI32" s="8">
        <v>0</v>
      </c>
      <c r="FJ32" s="8">
        <v>744</v>
      </c>
      <c r="FK32" s="6">
        <f t="shared" si="439"/>
        <v>100</v>
      </c>
      <c r="FL32" s="8">
        <v>0</v>
      </c>
      <c r="FM32" s="6">
        <f t="shared" si="440"/>
        <v>0</v>
      </c>
      <c r="FN32" s="6">
        <v>0</v>
      </c>
      <c r="FO32" s="6">
        <f t="shared" si="382"/>
        <v>0</v>
      </c>
      <c r="FP32" s="8">
        <v>0</v>
      </c>
      <c r="FQ32" s="6">
        <f t="shared" si="383"/>
        <v>0</v>
      </c>
      <c r="FR32" s="6">
        <f t="shared" si="441"/>
        <v>0</v>
      </c>
      <c r="FS32" s="18">
        <f t="shared" si="143"/>
        <v>100</v>
      </c>
      <c r="FT32" s="6">
        <f t="shared" si="385"/>
        <v>21.263440860215056</v>
      </c>
      <c r="FU32" s="6">
        <f t="shared" si="386"/>
        <v>744</v>
      </c>
      <c r="FV32" s="42">
        <v>7910</v>
      </c>
      <c r="FW32" s="8">
        <v>50</v>
      </c>
      <c r="FZ32" s="37" t="s">
        <v>55</v>
      </c>
      <c r="GA32" s="8">
        <v>0</v>
      </c>
      <c r="GB32" s="8">
        <v>0</v>
      </c>
      <c r="GC32" s="8">
        <v>0</v>
      </c>
      <c r="GD32" s="8">
        <v>720</v>
      </c>
      <c r="GE32" s="6">
        <f t="shared" si="387"/>
        <v>1</v>
      </c>
      <c r="GF32" s="8">
        <v>0</v>
      </c>
      <c r="GG32" s="6">
        <f t="shared" si="431"/>
        <v>0</v>
      </c>
      <c r="GH32" s="6">
        <v>0</v>
      </c>
      <c r="GI32" s="6">
        <f t="shared" si="389"/>
        <v>0</v>
      </c>
      <c r="GJ32" s="8">
        <v>0</v>
      </c>
      <c r="GK32" s="6">
        <f t="shared" si="390"/>
        <v>0</v>
      </c>
      <c r="GL32" s="6">
        <f t="shared" si="432"/>
        <v>0</v>
      </c>
      <c r="GM32" s="18">
        <f t="shared" si="433"/>
        <v>100</v>
      </c>
      <c r="GN32" s="6">
        <f t="shared" si="392"/>
        <v>0</v>
      </c>
      <c r="GO32" s="6">
        <f t="shared" si="393"/>
        <v>720</v>
      </c>
      <c r="GP32" s="8">
        <v>0</v>
      </c>
      <c r="GQ32" s="8">
        <v>50</v>
      </c>
      <c r="GT32" s="37" t="s">
        <v>55</v>
      </c>
      <c r="GU32" s="8">
        <v>516.79999999999995</v>
      </c>
      <c r="GV32" s="8">
        <v>144.80000000000001</v>
      </c>
      <c r="GW32" s="8">
        <v>372</v>
      </c>
      <c r="GX32" s="8">
        <v>210.1</v>
      </c>
      <c r="GY32" s="6">
        <f t="shared" si="338"/>
        <v>28.23924731182796</v>
      </c>
      <c r="GZ32" s="8">
        <v>0</v>
      </c>
      <c r="HA32" s="8">
        <f t="shared" si="338"/>
        <v>0</v>
      </c>
      <c r="HB32" s="8">
        <v>17.100000000000001</v>
      </c>
      <c r="HC32" s="6">
        <f t="shared" si="394"/>
        <v>2.2983870967741939</v>
      </c>
      <c r="HD32" s="8">
        <v>0</v>
      </c>
      <c r="HE32" s="6">
        <f t="shared" si="395"/>
        <v>69.462365591397841</v>
      </c>
      <c r="HF32" s="6">
        <f t="shared" si="396"/>
        <v>69.462365591397841</v>
      </c>
      <c r="HG32" s="18">
        <f t="shared" si="397"/>
        <v>59.199774584389978</v>
      </c>
      <c r="HH32" s="6">
        <f t="shared" si="398"/>
        <v>11.663978494623656</v>
      </c>
      <c r="HI32" s="6">
        <f t="shared" si="399"/>
        <v>744</v>
      </c>
      <c r="HJ32" s="86">
        <v>4339</v>
      </c>
      <c r="HK32" s="8">
        <v>50</v>
      </c>
      <c r="HN32" s="37" t="s">
        <v>55</v>
      </c>
      <c r="HO32" s="52">
        <v>720</v>
      </c>
      <c r="HP32" s="52">
        <v>343.2</v>
      </c>
      <c r="HQ32" s="52">
        <v>376.8</v>
      </c>
      <c r="HR32" s="52">
        <v>0</v>
      </c>
      <c r="HS32" s="6">
        <f t="shared" si="400"/>
        <v>0</v>
      </c>
      <c r="HT32" s="52">
        <v>0</v>
      </c>
      <c r="HU32" s="6">
        <f t="shared" si="435"/>
        <v>0</v>
      </c>
      <c r="HV32" s="52">
        <v>0</v>
      </c>
      <c r="HW32" s="6">
        <f t="shared" si="436"/>
        <v>0</v>
      </c>
      <c r="HX32" s="8">
        <v>0</v>
      </c>
      <c r="HY32" s="6">
        <f t="shared" si="437"/>
        <v>100</v>
      </c>
      <c r="HZ32" s="6">
        <f t="shared" si="404"/>
        <v>100</v>
      </c>
      <c r="IA32" s="18">
        <f t="shared" si="405"/>
        <v>0</v>
      </c>
      <c r="IB32" s="6">
        <f t="shared" si="438"/>
        <v>32.9</v>
      </c>
      <c r="IC32" s="6">
        <f t="shared" si="407"/>
        <v>720</v>
      </c>
      <c r="ID32" s="54">
        <v>11844</v>
      </c>
      <c r="IE32" s="8">
        <v>50</v>
      </c>
      <c r="IF32" s="15">
        <v>50</v>
      </c>
    </row>
    <row r="33" spans="1:240" ht="15" x14ac:dyDescent="0.25">
      <c r="B33" s="95" t="s">
        <v>39</v>
      </c>
      <c r="C33" s="25">
        <f>SUM(C23:C32)</f>
        <v>3210.6</v>
      </c>
      <c r="D33" s="25">
        <f t="shared" ref="D33:L33" si="443">SUM(D23:D32)</f>
        <v>1062.9000000000001</v>
      </c>
      <c r="E33" s="25">
        <f t="shared" si="443"/>
        <v>2147.6999999999998</v>
      </c>
      <c r="F33" s="25">
        <f t="shared" si="443"/>
        <v>1033.8</v>
      </c>
      <c r="G33" s="26">
        <f>(G23*S23+G24*S24+G25*S25+G26*S26+G27*S27+G28*S28+G29*S29+G30*S30+G31*S31+G32*S32)/S33</f>
        <v>14.233961784365007</v>
      </c>
      <c r="H33" s="25">
        <f t="shared" si="443"/>
        <v>3161.6</v>
      </c>
      <c r="I33" s="26">
        <f>(I23*S23+I24*S24+I25*S25+I26*S26+I27*S27+I28*S28+I29*S29+I30*S30+I31*S31+I32*S32)/S33</f>
        <v>43.660999709386807</v>
      </c>
      <c r="J33" s="26">
        <f>SUM(J23:J32)</f>
        <v>34</v>
      </c>
      <c r="K33" s="26">
        <f>(K23*S23+K24*S24+K25*S25+K26*S26+K27*S27+K28*S28+K29*S29+K30*S30+K31*S31+K32*S32)/S33</f>
        <v>0.38597064806742226</v>
      </c>
      <c r="L33" s="25">
        <f t="shared" si="443"/>
        <v>0</v>
      </c>
      <c r="M33" s="26">
        <f>(M23*S23+M24*S24+M25*S25+M26*S26+M27*S27+M28*S28+M29*S29+M30*S30+M31*S31+M32*S32)/S33</f>
        <v>41.719067858180757</v>
      </c>
      <c r="N33" s="7">
        <f>(N23*S23+N24*S24+N25*S25+N26*S26+N27*S27+N28*S28+N29*S29+N30*S30+N31*S31+N32*S32)/S33</f>
        <v>41.719067858180757</v>
      </c>
      <c r="O33" s="7">
        <f>(O23*S23+O24*S24+O25*S25+O26*S26+O27*S27+O28*S28+O29*S29+O30*S30+O31*S31+O32*S32)/S33</f>
        <v>21.007302143193566</v>
      </c>
      <c r="P33" s="7">
        <f>(P23*S23+P24*S24+P25*S25+P26*S26+P27*S27+P28*S28+P29*S29+P30*S30+P31*S31+P32*S32)/S33</f>
        <v>7.7026118860796284</v>
      </c>
      <c r="Q33" s="30">
        <f>SUM(Q23:Q32)</f>
        <v>7440</v>
      </c>
      <c r="R33" s="102">
        <f>SUM(R23:R32)</f>
        <v>33926</v>
      </c>
      <c r="S33" s="25">
        <f>SUM(S23:S32)</f>
        <v>592</v>
      </c>
      <c r="V33" s="87" t="s">
        <v>39</v>
      </c>
      <c r="W33" s="25">
        <f>SUM(W23:W32)</f>
        <v>3393.9</v>
      </c>
      <c r="X33" s="25">
        <f t="shared" ref="X33:AF33" si="444">SUM(X23:X32)</f>
        <v>2270.9</v>
      </c>
      <c r="Y33" s="25">
        <f>SUM(Y23:Y32)</f>
        <v>1123</v>
      </c>
      <c r="Z33" s="25">
        <f t="shared" si="444"/>
        <v>925.2</v>
      </c>
      <c r="AA33" s="26">
        <f>(AA23*AM23+AA24*AM24+AA25*AM25+AA26*AM26+AA27*AM27+AA28*AM28+AA29*AM29+AA30*AM30+AA31*AM31+AA32*AM32)/AM33</f>
        <v>11.622529787852368</v>
      </c>
      <c r="AB33" s="25">
        <f t="shared" si="444"/>
        <v>3099.5</v>
      </c>
      <c r="AC33" s="26">
        <f>(AC23*AM23+AC24*AM24+AC25*AM25+AC26*AM26+AC27*AM27+AC28*AM28+AC29*AM29+AC30*AM30+AC31*AM31+AC32*AM32)/AM33</f>
        <v>42.956035672769545</v>
      </c>
      <c r="AD33" s="26">
        <f>SUM(AD23:AD32)</f>
        <v>21.4</v>
      </c>
      <c r="AE33" s="30">
        <f>(AE23*AM23+AE24*AM24+AE25*AM25+AE26*AM26+AE27*AM27+AE28*AM28+AE29*AM29+AE30*AM30+AE31*AM31+AE32*AM32)/AM33</f>
        <v>0.2429344667247893</v>
      </c>
      <c r="AF33" s="25">
        <f t="shared" si="444"/>
        <v>0</v>
      </c>
      <c r="AG33" s="26">
        <f>(AG23*AM23+AG24*AM24+AG25*AM25+AG26*AM26+AG27*AM27+AG28*AM28+AG29*AM29+AG30*AM30+AG31*AM31+AG32*AM32)/AM33</f>
        <v>45.178500072653293</v>
      </c>
      <c r="AH33" s="7">
        <f>(AH23*AM23+AH24*AM24+AH25*AM25+AH26*AM26+AH27*AM27+AH28*AM28+AH29*AM29+AH30*AM30+AH31*AM31+AH32*AM32)/AM33</f>
        <v>45.178500072653293</v>
      </c>
      <c r="AI33" s="7">
        <f>(AI23*AM23+AI24*AM24+AI25*AM25+AI26*AM26+AI27*AM27+AI28*AM28+AI29*AM29+AI30*AM30+AI31*AM31+AI32*AM32)/AM33</f>
        <v>12.874261959777487</v>
      </c>
      <c r="AJ33" s="7">
        <f>(AJ23*AM23+AJ24*AM24+AJ25*AM25+AJ26*AM26+AJ27*AM27+AJ28*AM28+AJ29*AM29+AJ30*AM30+AJ31*AM31+AJ32*AM32)/AM33</f>
        <v>19.074442385934319</v>
      </c>
      <c r="AK33" s="30">
        <f>SUM(AK23:AK32)</f>
        <v>7440</v>
      </c>
      <c r="AL33" s="89">
        <f>SUM(AL23:AL32)</f>
        <v>84013</v>
      </c>
      <c r="AM33" s="29">
        <f>SUM(AM23:AM32)</f>
        <v>592</v>
      </c>
      <c r="AP33" s="87" t="s">
        <v>39</v>
      </c>
      <c r="AQ33" s="25">
        <f>SUM(AQ23:AQ32)</f>
        <v>3283.9</v>
      </c>
      <c r="AR33" s="25">
        <f t="shared" ref="AR33:AZ33" si="445">SUM(AR23:AR32)</f>
        <v>2266.9</v>
      </c>
      <c r="AS33" s="25">
        <f>SUM(AS23:AS32)</f>
        <v>1017</v>
      </c>
      <c r="AT33" s="25">
        <f t="shared" si="445"/>
        <v>1025.2</v>
      </c>
      <c r="AU33" s="26">
        <f>(AU23*BG23+AU24*BG24+AU25*BG25+AU26*BG26+AU27*BG27+AU28*BG28+AU29*BG29+AU30*BG30+AU31*BG31+AU32*BG32)/BG33</f>
        <v>15.416948198198195</v>
      </c>
      <c r="AV33" s="25">
        <f t="shared" si="445"/>
        <v>2880</v>
      </c>
      <c r="AW33" s="26">
        <f>(AW23*BG23+AW24*BG24+AW25*BG25+AW26*BG26+AW27*BG27+AW28*BG28+AW29*BG29+AW30*BG30+AW31*BG31+AW32*BG32)/BG33</f>
        <v>41.554054054054056</v>
      </c>
      <c r="AX33" s="26">
        <f>SUM(AX23:AX32)</f>
        <v>10.9</v>
      </c>
      <c r="AY33" s="30">
        <f>(AY23*BG23+AY24*BG24+AY25*BG25+AY26*BG26+AY27*BG27+AY28*BG28+AY29*BG29+AY30*BG30+AY31*BG31+AY32*BG32)/BG33</f>
        <v>0.12786223723723725</v>
      </c>
      <c r="AZ33" s="25">
        <f t="shared" si="445"/>
        <v>0</v>
      </c>
      <c r="BA33" s="26">
        <f>(BA23*BG23+BA24*BG24+BA25*BG25+BA26*BG26+BA27*BG27+BA28*BG28+BA29*BG29+BA30*BG30+BA31*BG31+BA32*BG32)/BG33</f>
        <v>42.901135510510514</v>
      </c>
      <c r="BB33" s="7">
        <f>(BB23*BG23+BB24*BG24+BB25*BG25+BB26*BG26+BB27*BG27+BB28*BG28+BB29*BG29+BB30*BG30+BB31*BG31+BB32*BG32)/BG33</f>
        <v>42.901135510510514</v>
      </c>
      <c r="BC33" s="7">
        <f>(BC23*BG23+BC24*BG24+BC25*BG25+BC26*BG26+BC27*BG27+BC28*BG28+BC29*BG29+BC30*BG30+BC31*BG31+BC32*BG32)/BG33</f>
        <v>15.942781551694935</v>
      </c>
      <c r="BD33" s="7">
        <f>(BD23*BG23+BD24*BG24+BD25*BG25+BD26*BG26+BD27*BG27+BD28*BG28+BD29*BG29+BD30*BG30+BD31*BG31+BD32*BG32)/BG33</f>
        <v>20.137715840840841</v>
      </c>
      <c r="BE33" s="30">
        <f>SUM(BE23:BE32)</f>
        <v>7200</v>
      </c>
      <c r="BF33" s="89">
        <f>SUM(BF23:BF32)</f>
        <v>85835</v>
      </c>
      <c r="BG33" s="29">
        <f>SUM(BG23:BG32)</f>
        <v>592</v>
      </c>
      <c r="BJ33" s="87" t="s">
        <v>39</v>
      </c>
      <c r="BK33" s="25">
        <f>SUM(BK23:BK32)</f>
        <v>4347.2999999999993</v>
      </c>
      <c r="BL33" s="25">
        <f t="shared" ref="BL33:BT33" si="446">SUM(BL23:BL32)</f>
        <v>3013.2</v>
      </c>
      <c r="BM33" s="25">
        <f>SUM(BM23:BM32)</f>
        <v>1334.1</v>
      </c>
      <c r="BN33" s="25">
        <f t="shared" si="446"/>
        <v>92.3</v>
      </c>
      <c r="BO33" s="26">
        <f>(BO23*CA23+BO24*CA24+BO25*CA25+BO26*CA26+BO27*CA27+BO28*CA28+BO29*CA29+BO30*CA30+BO31*CA31+BO32*CA32)/CA33</f>
        <v>1.184612031386225</v>
      </c>
      <c r="BP33" s="25">
        <f t="shared" si="446"/>
        <v>2972</v>
      </c>
      <c r="BQ33" s="26">
        <f>(BQ23*CA23+BQ24*CA24+BQ25*CA25+BQ26*CA26+BQ27*CA27+BQ28*CA28+BQ29*CA29+BQ30*CA30+BQ31*CA31+BQ32*CA32)/CA33</f>
        <v>41.508645742516705</v>
      </c>
      <c r="BR33" s="26">
        <f>SUM(BR23:BR32)</f>
        <v>28.400000000000002</v>
      </c>
      <c r="BS33" s="26">
        <f>(BS23*CA23+BS24*CA24+BS25*CA25+BS26*CA26+BS27*CA27+BS28*CA28+BS29*CA29+BS30*CA30+BS31*CA31+BS32*CA32)/CA33</f>
        <v>0.42474934612031384</v>
      </c>
      <c r="BT33" s="25">
        <f t="shared" si="446"/>
        <v>0</v>
      </c>
      <c r="BU33" s="26">
        <f>(BU23*CA23+BU24*CA24+BU25*CA25+BU26*CA26+BU27*CA27+BU28*CA28+BU29*CA29+BU30*CA30+BU31*CA31+BU32*CA32)/CA33</f>
        <v>56.88199287997675</v>
      </c>
      <c r="BV33" s="7">
        <f>(BV23*CA23+BV24*CA24+BV25*CA25+BV26*CA26+BV27*CA27+BV28*CA28+BV29*CA29+BV30*CA30+BV31*CA31+BV32*CA32)/CA33</f>
        <v>56.88199287997675</v>
      </c>
      <c r="BW33" s="7">
        <f>(BW23*CA23+BW24*CA24+BW25*CA25+BW26*CA26+BW27*CA27+BW28*CA28+BW29*CA29+BW30*CA30+BW31*CA31+BW32*CA32)/CA33</f>
        <v>1.9035214668203981</v>
      </c>
      <c r="BX33" s="7">
        <f>(BX23*CA23+BX24*CA24+BX25*CA25+BX26*CA26+BX27*CA27+BX28*CA28+BX29*CA29+BX30*CA30+BX31*CA31+BX32*CA32)/CA33</f>
        <v>24.958678436501017</v>
      </c>
      <c r="BY33" s="30">
        <f>SUM(BY23:BY32)</f>
        <v>7440</v>
      </c>
      <c r="BZ33" s="89">
        <f>SUM(BZ23:BZ32)</f>
        <v>109930</v>
      </c>
      <c r="CA33" s="29">
        <f>SUM(CA23:CA32)</f>
        <v>592</v>
      </c>
      <c r="CD33" s="87" t="s">
        <v>39</v>
      </c>
      <c r="CE33" s="25">
        <f>SUM(CE23:CE32)</f>
        <v>3973.8999999999996</v>
      </c>
      <c r="CF33" s="25">
        <f t="shared" ref="CF33:CN33" si="447">SUM(CF23:CF32)</f>
        <v>1282.5999999999999</v>
      </c>
      <c r="CG33" s="25">
        <f>SUM(CG23:CG32)</f>
        <v>2691.3</v>
      </c>
      <c r="CH33" s="25">
        <f t="shared" si="447"/>
        <v>176.6</v>
      </c>
      <c r="CI33" s="26">
        <f>(CI23*CU23+CI24*CU24+CI25*CU25+CI26*CU26+CI27*CU27+CI28*CU28+CI29*CU29+CI30*CU30+CI31*CU31+CI32*CU32)/CU33</f>
        <v>2.0716028528528527</v>
      </c>
      <c r="CJ33" s="25">
        <f t="shared" si="447"/>
        <v>3001.6</v>
      </c>
      <c r="CK33" s="26">
        <f>(CK23*CU23+CK24*CU24+CK25*CU25+CK26*CU26+CK27*CU27+CK28*CU28+CK29*CU29+CK30*CU30+CK31*CU31+CK32*CU32)/CU33</f>
        <v>42.98048048048048</v>
      </c>
      <c r="CL33" s="26">
        <f>SUM(CL23:CL32)</f>
        <v>47.9</v>
      </c>
      <c r="CM33" s="26">
        <f>(CM23*CU23+CM24*CU24+CM25*CU25+CM26*CU26+CM27*CU27+CM28*CU28+CM29*CU29+CM30*CU30+CM31*CU31+CM32*CU32)/CU33</f>
        <v>0.56189001501501501</v>
      </c>
      <c r="CN33" s="25">
        <f t="shared" si="447"/>
        <v>0</v>
      </c>
      <c r="CO33" s="26">
        <f>(CO23*CU23+CO24*CU24+CO25*CU25+CO26*CU26+CO27*CU27+CO28*CU28+CO29*CU29+CO30*CU30+CO31*CU31+CO32*CU32)/CU33</f>
        <v>54.386026651651655</v>
      </c>
      <c r="CP33" s="7">
        <f>(CP23*CU23+CP24*CU24+CP25*CU25+CP26*CU26+CP27*CU27+CP28*CU28+CP29*CU29+CP30*CU30+CP31*CU31+CP32*CU32)/CU33</f>
        <v>54.386026651651655</v>
      </c>
      <c r="CQ33" s="7">
        <f>(CQ23*CU23+CQ24*CU24+CQ25*CU25+CQ26*CU26+CQ27*CU27+CQ28*CU28+CQ29*CU29+CQ30*CU30+CQ31*CU31+CQ32*CU32)/CU33</f>
        <v>5.8266325552836173</v>
      </c>
      <c r="CR33" s="7">
        <f>(CR23*CU23+CR24*CU24+CR25*CU25+CR26*CU26+CR27*CU27+CR28*CU28+CR29*CU29+CR30*CU30+CR31*CU31+CR32*CU32)/CU33</f>
        <v>9.7480292792792795</v>
      </c>
      <c r="CS33" s="30">
        <f>SUM(CS23:CS32)</f>
        <v>7200</v>
      </c>
      <c r="CT33" s="33">
        <f>SUM(CT23:CT32)</f>
        <v>41550</v>
      </c>
      <c r="CU33" s="29">
        <f>SUM(CU23:CU32)</f>
        <v>592</v>
      </c>
      <c r="CX33" s="87" t="s">
        <v>39</v>
      </c>
      <c r="CY33" s="25">
        <f>SUM(CY23:CY32)</f>
        <v>3934.5</v>
      </c>
      <c r="CZ33" s="25">
        <f t="shared" ref="CZ33:DH33" si="448">SUM(CZ23:CZ32)</f>
        <v>1700.3</v>
      </c>
      <c r="DA33" s="25">
        <f>SUM(DA23:DA32)</f>
        <v>2234.1999999999998</v>
      </c>
      <c r="DB33" s="25">
        <f t="shared" si="448"/>
        <v>657</v>
      </c>
      <c r="DC33" s="26">
        <f>(DC23*DO23+DC24*DO24+DC25*DO25+DC26*DO26+DC27*DO27+DC28*DO28+DC29*DO29+DC30*DO30+DC31*DO31+DC32*DO32)/DO33</f>
        <v>12.271914051147924</v>
      </c>
      <c r="DD33" s="25">
        <f t="shared" si="448"/>
        <v>2848.5</v>
      </c>
      <c r="DE33" s="26">
        <f>(DE23*DO23+DE24*DO24+DE25*DO25+DE26*DO26+DE27*DO27+DE28*DO28+DE29*DO29+DE30*DO30+DE31*DO31+DE32*DO32)/DO33</f>
        <v>40.106664123801217</v>
      </c>
      <c r="DF33" s="26">
        <f>SUM(DF23:DF32)</f>
        <v>0</v>
      </c>
      <c r="DG33" s="30">
        <f>(DG23*DO23+DG24*DO24+DG25*DO25+DG26*DO26+DG27*DO27+DG28*DO28+DG29*DO29+DG30*DO30+DG31*DO31+DG32*DO32)/DO33</f>
        <v>0</v>
      </c>
      <c r="DH33" s="25">
        <f t="shared" si="448"/>
        <v>0</v>
      </c>
      <c r="DI33" s="26">
        <f>(DI23*DO23+DI24*DO24+DI25*DO25+DI26*DO26+DI27*DO27+DI28*DO28+DI29*DO29+DI30*DO30+DI31*DO31+DI32*DO32)/DO33</f>
        <v>47.621421825050852</v>
      </c>
      <c r="DJ33" s="7">
        <f>(DJ23*DO23+DJ24*DO24+DJ25*DO25+DJ26*DO26+DJ27*DO27+DJ28*DO28+DJ29*DO29+DJ30*DO30+DJ31*DO31+DJ32*DO32)/DO33</f>
        <v>47.621421825050852</v>
      </c>
      <c r="DK33" s="7">
        <f>(DK23*DO23+DK24*DO24+DK25*DO25+DK26*DO26+DK27*DO27+DK28*DO28+DK29*DO29+DK30*DO30+DK31*DO31+DK32*DO32)/DO33</f>
        <v>19.230273112326515</v>
      </c>
      <c r="DL33" s="7">
        <f>(DL23*DO23+DL24*DO24+DL25*DO25+DL26*DO26+DL27*DO27+DL28*DO28+DL29*DO29+DL30*DO30+DL31*DO31+DL32*DO32)/DO33</f>
        <v>14.025265184539379</v>
      </c>
      <c r="DM33" s="30">
        <f>SUM(DM23:DM32)</f>
        <v>7440</v>
      </c>
      <c r="DN33" s="89">
        <f>SUM(DN23:DN32)</f>
        <v>61774</v>
      </c>
      <c r="DO33" s="29">
        <f>SUM(DO23:DO32)</f>
        <v>592</v>
      </c>
      <c r="DR33" s="87" t="s">
        <v>39</v>
      </c>
      <c r="DS33" s="25">
        <f>SUM(DS23:DS32)</f>
        <v>1670.6000000000001</v>
      </c>
      <c r="DT33" s="25">
        <f t="shared" ref="DT33:EB33" si="449">SUM(DT23:DT32)</f>
        <v>822.40000000000009</v>
      </c>
      <c r="DU33" s="25">
        <f>SUM(DU23:DU32)</f>
        <v>848.2</v>
      </c>
      <c r="DV33" s="25">
        <f t="shared" si="449"/>
        <v>3537.4000000000005</v>
      </c>
      <c r="DW33" s="26">
        <f>(DW23*EI23+DW24*EI24+DW25*EI25+DW26*EI26+DW27*EI27+DW28*EI28+DW29*EI29+DW30*EI30+DW31*EI31+DW32*EI32)/EI33</f>
        <v>47.92711057832026</v>
      </c>
      <c r="DX33" s="25">
        <f t="shared" si="449"/>
        <v>2232</v>
      </c>
      <c r="DY33" s="26">
        <f>(DY23*EI23+DY24*EI24+DY25*EI25+DY26*EI26+DY27*EI27+DY28*EI28+DY29*EI29+DY30*EI30+DY31*EI31+DY32*EI32)/EI33</f>
        <v>33.108108108108105</v>
      </c>
      <c r="DZ33" s="26">
        <f>SUM(DZ23:DZ32)</f>
        <v>0</v>
      </c>
      <c r="EA33" s="30">
        <f>(EA23*EI23+EA24*EI24+EA25*EI25+EA26*EI26+EA27*EI27+EA28*EI28+EA29*EI29+EA30*EI30+EA31*EI31+EA32*EI32)/EI33</f>
        <v>0</v>
      </c>
      <c r="EB33" s="25">
        <f t="shared" si="449"/>
        <v>0</v>
      </c>
      <c r="EC33" s="26">
        <f>(EC23*EI23+EC24*EI24+EC25*EI25+EC26*EI26+EC27*EI27+EC28*EI28+EC29*EI29+EC30*EI30+EC31*EI31+EC32*EI32)/EI33</f>
        <v>18.964781313571642</v>
      </c>
      <c r="ED33" s="7">
        <f>(ED23*EI23+ED24*EI24+ED25*EI25+ED26*EI26+ED27*EI27+ED28*EI28+ED29*EI29+ED30*EI30+ED31*EI31+ED32*EI32)/EI33</f>
        <v>18.964781313571642</v>
      </c>
      <c r="EE33" s="7">
        <f>(EE23*EI23+EE24*EI24+EE25*EI25+EE26*EI26+EE27*EI27+EE28*EI28+EE29*EI29+EE30*EI30+EE31*EI31+EE32*EI32)/EI33</f>
        <v>50.758164191167339</v>
      </c>
      <c r="EF33" s="7">
        <f>(EF23*EI23+EF24*EI24+EF25*EI25+EF26*EI26+EF27*EI27+EF28*EI28+EF29*EI29+EF30*EI30+EF31*EI31+EF32*EI32)/EI33</f>
        <v>6.2881429816913688</v>
      </c>
      <c r="EG33" s="30">
        <f>SUM(EG23:EG32)</f>
        <v>7440</v>
      </c>
      <c r="EH33" s="33">
        <f>SUM(EH23:EH32)</f>
        <v>27696</v>
      </c>
      <c r="EI33" s="29">
        <f>SUM(EI23:EI32)</f>
        <v>592</v>
      </c>
      <c r="EL33" s="87" t="s">
        <v>39</v>
      </c>
      <c r="EM33" s="25">
        <f>SUM(EM23:EM32)</f>
        <v>1985.2</v>
      </c>
      <c r="EN33" s="25">
        <f t="shared" ref="EN33:EV33" si="450">SUM(EN23:EN32)</f>
        <v>640</v>
      </c>
      <c r="EO33" s="25">
        <f>SUM(EO23:EO32)</f>
        <v>1345.2</v>
      </c>
      <c r="EP33" s="25">
        <f t="shared" si="450"/>
        <v>2689.3</v>
      </c>
      <c r="EQ33" s="26">
        <f>(EQ23*FC23+EQ24*FC24+EQ25*FC25+EQ26*FC26+EQ27*FC27+EQ28*FC28+EQ29*FC29+EQ30*FC30+EQ31*FC31+EQ32*FC32)/FC33</f>
        <v>41.570392937580436</v>
      </c>
      <c r="ER33" s="25">
        <f t="shared" si="450"/>
        <v>2045.5</v>
      </c>
      <c r="ES33" s="26">
        <f>(ES23*FC23+ES24*FC24+ES25*FC25+ES26*FC26+ES27*FC27+ES28*FC28+ES29*FC29+ES30*FC30+ES31*FC31+ES32*FC32)/FC33</f>
        <v>33.478875080437575</v>
      </c>
      <c r="ET33" s="26">
        <f>SUM(ET23:ET32)</f>
        <v>0</v>
      </c>
      <c r="EU33" s="30">
        <f>(EU23*FC23+EU24*FC24+EU25*FC25+EU26*FC26+EU27*FC27+EU28*FC28+EU29*FC29+EU30*FC30+EU31*FC31+EU32*FC32)/FC33</f>
        <v>0</v>
      </c>
      <c r="EV33" s="25">
        <f t="shared" si="450"/>
        <v>0</v>
      </c>
      <c r="EW33" s="26">
        <f>(EW23*FC23+EW24*FC24+EW25*FC25+EW26*FC26+EW27*FC27+EW28*FC28+EW29*FC29+EW30*FC30+EW31*FC31+EW32*FC32)/FC33</f>
        <v>22.536145015983728</v>
      </c>
      <c r="EX33" s="7">
        <f>(EX23*FC23+EX24*FC24+EX25*FC25+EX26*FC26+EX27*FC27+EX28*FC28+EX29*FC29+EX30*FC30+EX31*FC31+EX32*FC32)/FC33</f>
        <v>24.950731981981981</v>
      </c>
      <c r="EY33" s="7">
        <f>(EY23*FC23+EY24*FC24+EY25*FC25+EY26*FC26+EY27*FC27+EY28*FC28+EY29*FC29+EY30*FC30+EY31*FC31+EY32*FC32)/FC33</f>
        <v>41.597230340840248</v>
      </c>
      <c r="EZ33" s="7">
        <f>(EZ23*FC23+EZ24*FC24+EZ25*FC25+EZ26*FC26+EZ27*FC27+EZ28*FC28+EZ29*FC29+EZ30*FC30+EZ31*FC31+EZ32*FC32)/FC33</f>
        <v>7.0714687902187903</v>
      </c>
      <c r="FA33" s="30">
        <f>SUM(FA23:FA32)</f>
        <v>6720</v>
      </c>
      <c r="FB33" s="33">
        <f>SUM(FB23:FB32)</f>
        <v>28132</v>
      </c>
      <c r="FC33" s="29">
        <f>SUM(FC23:FC32)</f>
        <v>592</v>
      </c>
      <c r="FF33" s="87" t="s">
        <v>39</v>
      </c>
      <c r="FG33" s="25">
        <f>SUM(FG23:FG32)</f>
        <v>1912.5</v>
      </c>
      <c r="FH33" s="25">
        <f t="shared" ref="FH33:FP33" si="451">SUM(FH23:FH32)</f>
        <v>927</v>
      </c>
      <c r="FI33" s="25">
        <f>SUM(FI23:FI32)</f>
        <v>985.5</v>
      </c>
      <c r="FJ33" s="25">
        <f t="shared" si="451"/>
        <v>3295.5</v>
      </c>
      <c r="FK33" s="26">
        <f>(FK23*FW23+FK24*FW24+FK25*FW25+FK26*FW26+FK27*FW27+FK28*FW28+FK29*FW29+FK30*FW30+FK31*FW31+FK32*FW32)/FW33</f>
        <v>45.181042938099395</v>
      </c>
      <c r="FL33" s="25">
        <f t="shared" si="451"/>
        <v>2232</v>
      </c>
      <c r="FM33" s="26">
        <f>(FM23*FW23+FM24*FW24+FM25*FW25+FM26*FW26+FM27*FW27+FM28*FW28+FM29*FW29+FM30*FW30+FM31*FW31+FM32*FW32)/FW33</f>
        <v>33.108108108108105</v>
      </c>
      <c r="FN33" s="26">
        <f>SUM(FN23:FN32)</f>
        <v>0</v>
      </c>
      <c r="FO33" s="30">
        <f>(FO23*FW23+FO24*FW24+FO25*FW25+FO26*FW26+FO27*FW27+FO28*FW28+FO29*FW29+FO30*FW30+FO31*FW31+FO32*FW32)/FW33</f>
        <v>0</v>
      </c>
      <c r="FP33" s="25">
        <f t="shared" si="451"/>
        <v>0</v>
      </c>
      <c r="FQ33" s="26">
        <f>(FQ23*FW23+FQ24*FW24+FQ25*FW25+FQ26*FW26+FQ27*FW27+FQ28*FW28+FQ29*FW29+FQ30*FW30+FQ31*FW31+FQ32*FW32)/FW33</f>
        <v>21.710848953792503</v>
      </c>
      <c r="FR33" s="7">
        <f>(FR23*FW23+FR24*FW24+FR25*FW25+FR26*FW26+FR27*FW27+FR28*FW28+FR29*FW29+FR30*FW30+FR31*FW31+FR32*FW32)/FW33</f>
        <v>21.710848953792503</v>
      </c>
      <c r="FS33" s="7">
        <f>(FS23*FW23+FS24*FW24+FS25*FW25+FS26*FW26+FS27*FW27+FS28*FW28+FS29*FW29+FS30*FW30+FS31*FW31+FS32*FW32)/FW33</f>
        <v>47.881087418015909</v>
      </c>
      <c r="FT33" s="7">
        <f>(FT23*FW23+FT24*FW24+FT25*FW25+FT26*FW26+FT27*FW27+FT28*FW28+FT29*FW29+FT30*FW30+FT31*FW31+FT32*FW32)/FW33</f>
        <v>5.8367843650101721</v>
      </c>
      <c r="FU33" s="30">
        <f>SUM(FU23:FU32)</f>
        <v>7440</v>
      </c>
      <c r="FV33" s="33">
        <f>SUM(FV23:FV32)</f>
        <v>25708</v>
      </c>
      <c r="FW33" s="29">
        <f>SUM(FW23:FW32)</f>
        <v>592</v>
      </c>
      <c r="FZ33" s="87" t="s">
        <v>39</v>
      </c>
      <c r="GA33" s="25">
        <f>SUM(GA23:GA32)</f>
        <v>2123.5</v>
      </c>
      <c r="GB33" s="25">
        <f t="shared" ref="GB33:GJ33" si="452">SUM(GB23:GB32)</f>
        <v>1492</v>
      </c>
      <c r="GC33" s="25">
        <f>SUM(GC23:GC32)</f>
        <v>631.5</v>
      </c>
      <c r="GD33" s="25">
        <f t="shared" si="452"/>
        <v>2916.5</v>
      </c>
      <c r="GE33" s="78">
        <f>(GE23*GQ23+GE24*GQ24+GE25*GQ25+GE26*GQ26+GE27*GQ27+GE28*GQ28+GE29*GQ29+GE30*GQ30+GE31*GQ31+GE32*GQ32)/GQ33</f>
        <v>0.41982216591591592</v>
      </c>
      <c r="GF33" s="25">
        <f t="shared" si="452"/>
        <v>2160</v>
      </c>
      <c r="GG33" s="26">
        <f>(GG23*GQ23+GG24*GQ24+GG25*GQ25+GG26*GQ26+GG27*GQ27+GG28*GQ28+GG29*GQ29+GG30*GQ30+GG31*GQ31+GG32*GQ32)/GQ33</f>
        <v>33.108108108108105</v>
      </c>
      <c r="GH33" s="26">
        <f>SUM(GH23:GH32)</f>
        <v>0</v>
      </c>
      <c r="GI33" s="30">
        <f>(GI23*GQ23+GI24*GQ24+GI25*GQ25+GI26*GQ26+GI27*GQ27+GI28*GQ28+GI29*GQ29+GI30*GQ30+GI31*GQ31+GI32*GQ32)/GQ33</f>
        <v>0</v>
      </c>
      <c r="GJ33" s="25">
        <f t="shared" si="452"/>
        <v>0</v>
      </c>
      <c r="GK33" s="26">
        <f>(GK23*GQ23+GK24*GQ24+GK25*GQ25+GK26*GQ26+GK27*GQ27+GK28*GQ28+GK29*GQ29+GK30*GQ30+GK31*GQ31+GK32*GQ32)/GQ33</f>
        <v>24.106137387387385</v>
      </c>
      <c r="GL33" s="7">
        <f>(GL23*GQ23+GL24*GQ24+GL25*GQ25+GL26*GQ26+GL27*GQ27+GL28*GQ28+GL29*GQ29+GL30*GQ30+GL31*GQ31+GL32*GQ32)/GQ33</f>
        <v>24.9096753003003</v>
      </c>
      <c r="GM33" s="7">
        <f>(GM23*GQ23+GM24*GQ24+GM25*GQ25+GM26*GQ26+GM27*GQ27+GM28*GQ28+GM29*GQ29+GM30*GQ30+GM31*GQ31+GM32*GQ32)/GQ33</f>
        <v>42.161386065267614</v>
      </c>
      <c r="GN33" s="7">
        <f>(GN23*GQ23+GN24*GQ24+GN25*GQ25+GN26*GQ26+GN27*GQ27+GN28*GQ28+GN29*GQ29+GN30*GQ30+GN31*GQ31+GN32*GQ32)/GQ33</f>
        <v>11.442849099099098</v>
      </c>
      <c r="GO33" s="30">
        <f>SUM(GO23:GO32)</f>
        <v>7200</v>
      </c>
      <c r="GP33" s="33">
        <f>SUM(GP23:GP32)</f>
        <v>48774</v>
      </c>
      <c r="GQ33" s="29">
        <f>SUM(GQ23:GQ32)</f>
        <v>592</v>
      </c>
      <c r="GT33" s="87" t="s">
        <v>39</v>
      </c>
      <c r="GU33" s="25">
        <f>SUM(GU23:GU32)</f>
        <v>3763.3999999999996</v>
      </c>
      <c r="GV33" s="25">
        <f t="shared" ref="GV33:HD33" si="453">SUM(GV23:GV32)</f>
        <v>1544.4999999999998</v>
      </c>
      <c r="GW33" s="25">
        <f>SUM(GW23:GW32)</f>
        <v>2218.8999999999996</v>
      </c>
      <c r="GX33" s="25">
        <f t="shared" si="453"/>
        <v>1325.5</v>
      </c>
      <c r="GY33" s="26">
        <f>(GY23*HK23+GY24*HK24+GY25*HK25+GY26*HK26+GY27*HK27+GY28*HK28+GY29*HK29+GY30*HK30+GY31*HK31+GY32*HK32)/HK33</f>
        <v>22.817449505957569</v>
      </c>
      <c r="GZ33" s="25">
        <f t="shared" si="453"/>
        <v>2290.3000000000002</v>
      </c>
      <c r="HA33" s="26">
        <f>(HA23*HK23+HA24*HK24+HA25*HK25+HA26*HK26+HA27*HK27+HA28*HK28+HA29*HK29+HA30*HK30+HA31*HK31+HA32*HK32)/HK33</f>
        <v>33.769934248764891</v>
      </c>
      <c r="HB33" s="26">
        <f>SUM(HB23:HB32)</f>
        <v>60.800000000000004</v>
      </c>
      <c r="HC33" s="30">
        <f>(HC23*HK23+HC24*HK24+HC25*HK25+HC26*HK26+HC27*HK27+HC28*HK28+HC29*HK29+HC30*HK30+HC31*HK31+HC32*HK32)/HK33</f>
        <v>0.69020633536762577</v>
      </c>
      <c r="HD33" s="25">
        <f t="shared" si="453"/>
        <v>0</v>
      </c>
      <c r="HE33" s="26">
        <f>(HE23*HK23+HE24*HK24+HE25*HK25+HE26*HK26+HE27*HK27+HE28*HK28+HE29*HK29+HE30*HK30+HE31*HK31+HE32*HK32)/HK33</f>
        <v>42.722409909909906</v>
      </c>
      <c r="HF33" s="7">
        <f>(HF23*HK23+HF24*HK24+HF25*HK25+HF26*HK26+HF27*HK27+HF28*HK28+HF29*HK29+HF30*HK30+HF31*HK31+HF32*HK32)/HK33</f>
        <v>42.722409909909906</v>
      </c>
      <c r="HG33" s="7">
        <f>(HG23*HK23+HG24*HK24+HG25*HK25+HG26*HK26+HG27*HK27+HG28*HK28+HG29*HK29+HG30*HK30+HG31*HK31+HG32*HK32)/HK33</f>
        <v>28.313977662359456</v>
      </c>
      <c r="HH33" s="7">
        <f>(HH23*HK23+HH24*HK24+HH25*HK25+HH26*HK26+HH27*HK27+HH28*HK28+HH29*HK29+HH30*HK30+HH31*HK31+HH32*HK32)/HK33</f>
        <v>10.709550276082535</v>
      </c>
      <c r="HI33" s="30">
        <f>SUM(HI23:HI32)</f>
        <v>7440</v>
      </c>
      <c r="HJ33" s="89">
        <f>SUM(HJ23:HJ32)</f>
        <v>47170</v>
      </c>
      <c r="HK33" s="29">
        <f>SUM(HK23:HK32)</f>
        <v>592</v>
      </c>
      <c r="HN33" s="87" t="s">
        <v>39</v>
      </c>
      <c r="HO33" s="30">
        <f>SUM(HO23:HO32)</f>
        <v>4293.3</v>
      </c>
      <c r="HP33" s="30">
        <f t="shared" ref="HP33:HR33" si="454">SUM(HP23:HP32)</f>
        <v>2230.1</v>
      </c>
      <c r="HQ33" s="30">
        <f t="shared" si="454"/>
        <v>2063.1999999999998</v>
      </c>
      <c r="HR33" s="30">
        <f t="shared" si="454"/>
        <v>744</v>
      </c>
      <c r="HS33" s="26">
        <f>(HS23*IE23+HS24*IE24+HS25*IE25+HS26*IE26+HS27*IE27+HS28*IE28+HS29*IE29+HS30*IE30+HS31*IE31+HS32*IE32)/IE33</f>
        <v>16.497747747747745</v>
      </c>
      <c r="HT33" s="30">
        <f>SUM(HT23:HT32)</f>
        <v>2160</v>
      </c>
      <c r="HU33" s="30">
        <f>(HU23*IE23+HU24*IE24+HU25*IE25+HU26*IE26+HU27*IE27+HU28*IE28+HU29*IE29+HU30*IE30+HU31*IE31+HU32*IE32)/IE33</f>
        <v>33.108108108108105</v>
      </c>
      <c r="HV33" s="30">
        <f>SUM(HV23:HV32)</f>
        <v>2.7</v>
      </c>
      <c r="HW33" s="30">
        <f>(HW23*IE23+HW24*IE24+HW25*IE25+HW26*IE26+HW27*IE27+HW28*IE28+HW29*IE29+HW30*IE30+HW31*IE31+HW32*IE32)/IE33</f>
        <v>3.16722972972973E-2</v>
      </c>
      <c r="HX33" s="30">
        <f>SUM(HX23:HX32)</f>
        <v>0</v>
      </c>
      <c r="HY33" s="26">
        <f>(HY23*IE23+HY24*IE24+HY25*IE25+HY26*IE26+HY27*IE27+HY28*IE28+HY29*IE29+HY30*IE30+HY31*IE31+HY32*IE32)/IE33</f>
        <v>50.362471846846852</v>
      </c>
      <c r="HZ33" s="26">
        <f>(HZ23*IE23+HZ24*IE24+HZ25*IE25+HZ26*IE26+HZ27*IE27+HZ28*IE28+HZ29*IE29+HZ30*IE30+HZ31*IE31+HZ32*IE32)/IE33</f>
        <v>50.362471846846852</v>
      </c>
      <c r="IA33" s="26">
        <f>(IA23*IE23+IA24*IE24+IA25*IE25+IA26*IE26+IA27*IE27+IA28*IE28+IA29*IE29+IA30*IE30+IA31*IE31+IA32*IE32)/IE33</f>
        <v>16.841604279487093</v>
      </c>
      <c r="IB33" s="26">
        <f>(IB23*IE23+IB24*IE24+IB25*IE25+IB26*IE26+IB27*IE27+IB28*IE28+IB29*IE29+IB30*IE30+IB31*IE31+IB32*IE32)/IE33</f>
        <v>17.792558183183186</v>
      </c>
      <c r="IC33" s="30">
        <f>SUM(IC23:IC32)</f>
        <v>7200</v>
      </c>
      <c r="ID33" s="31">
        <f>SUM(ID23:ID32)</f>
        <v>75839</v>
      </c>
      <c r="IE33" s="29">
        <f>SUM(IE23:IE32)</f>
        <v>592</v>
      </c>
      <c r="IF33" s="15"/>
    </row>
    <row r="34" spans="1:240" ht="15" x14ac:dyDescent="0.25">
      <c r="A34" s="16" t="s">
        <v>40</v>
      </c>
      <c r="B34" s="37" t="s">
        <v>47</v>
      </c>
      <c r="C34" s="8">
        <v>744</v>
      </c>
      <c r="D34" s="8">
        <v>99.7</v>
      </c>
      <c r="E34" s="8">
        <v>644.29999999999995</v>
      </c>
      <c r="F34" s="8">
        <v>0</v>
      </c>
      <c r="G34" s="6">
        <f t="shared" si="339"/>
        <v>0</v>
      </c>
      <c r="H34" s="8">
        <v>0</v>
      </c>
      <c r="I34" s="6">
        <f t="shared" si="339"/>
        <v>0</v>
      </c>
      <c r="J34" s="6">
        <v>0</v>
      </c>
      <c r="K34" s="6">
        <f t="shared" si="339"/>
        <v>0</v>
      </c>
      <c r="L34" s="8">
        <v>0</v>
      </c>
      <c r="M34" s="6">
        <f>(C34/$B$4)*100</f>
        <v>100</v>
      </c>
      <c r="N34" s="8">
        <f t="shared" si="279"/>
        <v>100</v>
      </c>
      <c r="O34" s="8">
        <f>IF((AND(D34=0,F34=0)),0,(F34+L34)/(D34+F34)*100)</f>
        <v>0</v>
      </c>
      <c r="P34" s="6">
        <f>(R34/($B$4*S34))*100</f>
        <v>10.72068612391193</v>
      </c>
      <c r="Q34" s="6">
        <f>SUM(D34:F34,H34,J34)</f>
        <v>744</v>
      </c>
      <c r="R34" s="86">
        <v>1675</v>
      </c>
      <c r="S34" s="8">
        <v>21</v>
      </c>
      <c r="U34" s="16" t="s">
        <v>40</v>
      </c>
      <c r="V34" s="37" t="s">
        <v>47</v>
      </c>
      <c r="W34" s="8">
        <v>744</v>
      </c>
      <c r="X34" s="8">
        <v>221.6</v>
      </c>
      <c r="Y34" s="8">
        <v>522.4</v>
      </c>
      <c r="Z34" s="8">
        <v>0</v>
      </c>
      <c r="AA34" s="8">
        <f t="shared" si="117"/>
        <v>0</v>
      </c>
      <c r="AB34" s="8">
        <v>0</v>
      </c>
      <c r="AC34" s="8">
        <f t="shared" si="118"/>
        <v>0</v>
      </c>
      <c r="AD34" s="6">
        <v>0</v>
      </c>
      <c r="AE34" s="6">
        <f t="shared" ref="AE34:AE36" si="455">(AD34/$V$4)*100</f>
        <v>0</v>
      </c>
      <c r="AF34" s="8">
        <v>0</v>
      </c>
      <c r="AG34" s="6">
        <f>(W34/$V$4)*100</f>
        <v>100</v>
      </c>
      <c r="AH34" s="8">
        <f t="shared" si="119"/>
        <v>100</v>
      </c>
      <c r="AI34" s="8">
        <f t="shared" si="120"/>
        <v>0</v>
      </c>
      <c r="AJ34" s="6">
        <f>(AL34/($V$4*AM34))*100</f>
        <v>24.545570916538658</v>
      </c>
      <c r="AK34" s="6">
        <f>SUM(X34:Z34,AB34,AD34)</f>
        <v>744</v>
      </c>
      <c r="AL34" s="86">
        <v>3835</v>
      </c>
      <c r="AM34" s="8">
        <v>21</v>
      </c>
      <c r="AO34" s="16" t="s">
        <v>40</v>
      </c>
      <c r="AP34" s="37" t="s">
        <v>47</v>
      </c>
      <c r="AQ34" s="8">
        <v>720</v>
      </c>
      <c r="AR34" s="8">
        <v>236.3</v>
      </c>
      <c r="AS34" s="8">
        <v>483.7</v>
      </c>
      <c r="AT34" s="8">
        <v>0</v>
      </c>
      <c r="AU34" s="8">
        <f t="shared" si="121"/>
        <v>0</v>
      </c>
      <c r="AV34" s="8">
        <v>0</v>
      </c>
      <c r="AW34" s="8">
        <f t="shared" si="122"/>
        <v>0</v>
      </c>
      <c r="AX34" s="8">
        <v>0</v>
      </c>
      <c r="AY34" s="6">
        <f>(AX34/$AP$4)*100</f>
        <v>0</v>
      </c>
      <c r="AZ34" s="8">
        <v>0</v>
      </c>
      <c r="BA34" s="6">
        <f>(AQ34/$AP$4)*100</f>
        <v>100</v>
      </c>
      <c r="BB34" s="6">
        <f t="shared" ref="BB34:BB58" si="456">((AQ34-AZ34)/$AP$4)*100</f>
        <v>100</v>
      </c>
      <c r="BC34" s="15">
        <f t="shared" ref="BC34:BC58" si="457">IF((AND(AR34=0,AT34=0)),0,(AT34+AZ34)/(AR34+AT34)*100)</f>
        <v>0</v>
      </c>
      <c r="BD34" s="6">
        <f t="shared" ref="BD34:BD36" si="458">(BF34/($AP$4*BG34))*100</f>
        <v>27.850529100529098</v>
      </c>
      <c r="BE34" s="6">
        <f>SUM(AR34:AT34,AV34,AX34)</f>
        <v>720</v>
      </c>
      <c r="BF34" s="8">
        <v>4211</v>
      </c>
      <c r="BG34" s="8">
        <v>21</v>
      </c>
      <c r="BI34" s="16" t="s">
        <v>40</v>
      </c>
      <c r="BJ34" s="37" t="s">
        <v>47</v>
      </c>
      <c r="BK34" s="8">
        <v>744</v>
      </c>
      <c r="BL34" s="8">
        <v>248.8</v>
      </c>
      <c r="BM34" s="8">
        <v>495.2</v>
      </c>
      <c r="BN34" s="8">
        <v>0</v>
      </c>
      <c r="BO34" s="6">
        <f t="shared" si="126"/>
        <v>0</v>
      </c>
      <c r="BP34" s="8">
        <v>0</v>
      </c>
      <c r="BQ34" s="8">
        <f t="shared" si="127"/>
        <v>0</v>
      </c>
      <c r="BR34" s="8">
        <v>0</v>
      </c>
      <c r="BS34" s="6">
        <f>(BR34/$BJ$4)*100</f>
        <v>0</v>
      </c>
      <c r="BT34" s="8">
        <v>0</v>
      </c>
      <c r="BU34" s="6">
        <f t="shared" ref="BU34:BU36" si="459">(BK34/$BJ$4)*100</f>
        <v>100</v>
      </c>
      <c r="BV34" s="6">
        <f t="shared" ref="BV34:BV51" si="460">((BK34-BT34)/$BJ$4)*100</f>
        <v>100</v>
      </c>
      <c r="BW34" s="6">
        <f t="shared" ref="BW34:BW51" si="461">IF((AND(BL34=0,BN34=0)),0,(BN34+BT34)/(BL34+BN34)*100)</f>
        <v>0</v>
      </c>
      <c r="BX34" s="6">
        <f t="shared" ref="BX34:BX36" si="462">(BZ34/($BJ$4*CA34))*100</f>
        <v>28.251408090117771</v>
      </c>
      <c r="BY34" s="6">
        <f>SUM(BL34:BN34,BP34,BR34)</f>
        <v>744</v>
      </c>
      <c r="BZ34" s="86">
        <v>4414</v>
      </c>
      <c r="CA34" s="8">
        <v>21</v>
      </c>
      <c r="CC34" s="16" t="s">
        <v>40</v>
      </c>
      <c r="CD34" s="37" t="s">
        <v>47</v>
      </c>
      <c r="CE34" s="8">
        <v>720</v>
      </c>
      <c r="CF34" s="8">
        <v>69.900000000000006</v>
      </c>
      <c r="CG34" s="8">
        <v>650.1</v>
      </c>
      <c r="CH34" s="8">
        <v>0</v>
      </c>
      <c r="CI34" s="8">
        <f t="shared" si="413"/>
        <v>0</v>
      </c>
      <c r="CJ34" s="8">
        <v>0</v>
      </c>
      <c r="CK34" s="8">
        <f t="shared" si="414"/>
        <v>0</v>
      </c>
      <c r="CL34" s="8">
        <v>0</v>
      </c>
      <c r="CM34" s="6">
        <f>(CL34/$CD$4)*100</f>
        <v>0</v>
      </c>
      <c r="CN34" s="8">
        <v>0</v>
      </c>
      <c r="CO34" s="6">
        <f>(CE34/$CD$4)*100</f>
        <v>100</v>
      </c>
      <c r="CP34" s="6">
        <f t="shared" si="132"/>
        <v>100</v>
      </c>
      <c r="CQ34" s="18">
        <f t="shared" si="415"/>
        <v>0</v>
      </c>
      <c r="CR34" s="6">
        <f t="shared" ref="CR34:CR36" si="463">(CT34/($CD$4*CU34))*100</f>
        <v>8.075396825396826</v>
      </c>
      <c r="CS34" s="6">
        <f>SUM(CF34:CH34,CJ34,CL34)</f>
        <v>720</v>
      </c>
      <c r="CT34" s="86">
        <v>1221</v>
      </c>
      <c r="CU34" s="8">
        <v>21</v>
      </c>
      <c r="CW34" s="16" t="s">
        <v>40</v>
      </c>
      <c r="CX34" s="37" t="s">
        <v>47</v>
      </c>
      <c r="CY34" s="8">
        <v>734</v>
      </c>
      <c r="CZ34" s="8">
        <v>110.1</v>
      </c>
      <c r="DA34" s="8">
        <v>623.9</v>
      </c>
      <c r="DB34" s="8">
        <v>10</v>
      </c>
      <c r="DC34" s="6">
        <f t="shared" si="416"/>
        <v>1.3440860215053763</v>
      </c>
      <c r="DD34" s="8">
        <v>0</v>
      </c>
      <c r="DE34" s="6">
        <f t="shared" si="417"/>
        <v>0</v>
      </c>
      <c r="DF34" s="6">
        <v>0</v>
      </c>
      <c r="DG34" s="6">
        <f>(DF34/$CX$4)*100</f>
        <v>0</v>
      </c>
      <c r="DH34" s="8">
        <v>0</v>
      </c>
      <c r="DI34" s="6">
        <f>(CY34/$V$4)*100</f>
        <v>98.655913978494624</v>
      </c>
      <c r="DJ34" s="6">
        <f t="shared" ref="DJ34:DJ78" si="464">((CY34-DH34)/$CX$4)*100</f>
        <v>98.655913978494624</v>
      </c>
      <c r="DK34" s="18">
        <f t="shared" ref="DK34:DK78" si="465">IF((AND(CZ34=0,DB34=0)),0,(DB34+DH34)/(CZ34+DB34)*100)</f>
        <v>8.3263946711074102</v>
      </c>
      <c r="DL34" s="6">
        <f t="shared" ref="DL34:DL36" si="466">(DN34/($CX$4*DO34))*100</f>
        <v>12.154377880184333</v>
      </c>
      <c r="DM34" s="6">
        <f>SUM(CZ34:DB34,DD34,DF34)</f>
        <v>744</v>
      </c>
      <c r="DN34" s="85">
        <v>1899</v>
      </c>
      <c r="DO34" s="8">
        <v>21</v>
      </c>
      <c r="DQ34" s="16" t="s">
        <v>40</v>
      </c>
      <c r="DR34" s="37" t="s">
        <v>47</v>
      </c>
      <c r="DS34" s="8">
        <v>744</v>
      </c>
      <c r="DT34" s="8">
        <v>150.19999999999999</v>
      </c>
      <c r="DU34" s="8">
        <v>593.79999999999995</v>
      </c>
      <c r="DV34" s="8">
        <v>0</v>
      </c>
      <c r="DW34" s="6">
        <f t="shared" si="420"/>
        <v>0</v>
      </c>
      <c r="DX34" s="8">
        <v>0</v>
      </c>
      <c r="DY34" s="6">
        <f t="shared" si="421"/>
        <v>0</v>
      </c>
      <c r="DZ34" s="6">
        <v>0</v>
      </c>
      <c r="EA34" s="6">
        <f>(DZ34/$DR$4)*100</f>
        <v>0</v>
      </c>
      <c r="EB34" s="8">
        <v>0</v>
      </c>
      <c r="EC34" s="6">
        <f>(DS34/$V$4)*100</f>
        <v>100</v>
      </c>
      <c r="ED34" s="6">
        <f t="shared" ref="ED34:ED78" si="467">((DS34-EB34)/$DR$4)*100</f>
        <v>100</v>
      </c>
      <c r="EE34" s="18">
        <f t="shared" ref="EE34:EE78" si="468">IF((AND(DT34=0,DV34=0)),0,(DV34+EB34)/(DT34+DV34)*100)</f>
        <v>0</v>
      </c>
      <c r="EF34" s="6">
        <f>(EH34/($DR$4*EI34))*100</f>
        <v>16.372247823860729</v>
      </c>
      <c r="EG34" s="6">
        <f>SUM(DT34:DV34,DX34,DZ34)</f>
        <v>744</v>
      </c>
      <c r="EH34" s="86">
        <v>2558</v>
      </c>
      <c r="EI34" s="8">
        <v>21</v>
      </c>
      <c r="EK34" s="16" t="s">
        <v>40</v>
      </c>
      <c r="EL34" s="37" t="s">
        <v>47</v>
      </c>
      <c r="EM34" s="8">
        <v>672</v>
      </c>
      <c r="EN34" s="8">
        <v>103.2</v>
      </c>
      <c r="EO34" s="8">
        <v>568.79999999999995</v>
      </c>
      <c r="EP34" s="8">
        <v>0</v>
      </c>
      <c r="EQ34" s="6">
        <f t="shared" si="424"/>
        <v>0</v>
      </c>
      <c r="ER34" s="8">
        <v>0</v>
      </c>
      <c r="ES34" s="6">
        <f t="shared" si="425"/>
        <v>0</v>
      </c>
      <c r="ET34" s="6">
        <v>0</v>
      </c>
      <c r="EU34" s="6">
        <f>(ET34/$EL$4)*100</f>
        <v>0</v>
      </c>
      <c r="EV34" s="8">
        <v>0</v>
      </c>
      <c r="EW34" s="6">
        <f>(EM34/$V$4)*100</f>
        <v>90.322580645161281</v>
      </c>
      <c r="EX34" s="6">
        <f t="shared" ref="EX34:EX78" si="469">((EM34-EV34)/$EL$4)*100</f>
        <v>100</v>
      </c>
      <c r="EY34" s="18">
        <f t="shared" ref="EY34:EY78" si="470">IF((AND(EN34=0,EP34=0)),0,(EP34+EV34)/(EN34+EP34)*100)</f>
        <v>0</v>
      </c>
      <c r="EZ34" s="6">
        <f t="shared" ref="EZ34:EZ36" si="471">(FB34/($EL$4*FC34))*100</f>
        <v>12.301587301587301</v>
      </c>
      <c r="FA34" s="6">
        <f>SUM(EN34:EP34,ER34,ET34)</f>
        <v>672</v>
      </c>
      <c r="FB34" s="86">
        <v>1736</v>
      </c>
      <c r="FC34" s="8">
        <v>21</v>
      </c>
      <c r="FE34" s="16" t="s">
        <v>40</v>
      </c>
      <c r="FF34" s="37" t="s">
        <v>47</v>
      </c>
      <c r="FG34" s="8">
        <v>744</v>
      </c>
      <c r="FH34" s="8">
        <v>237.5</v>
      </c>
      <c r="FI34" s="8">
        <v>506.5</v>
      </c>
      <c r="FJ34" s="8">
        <v>0</v>
      </c>
      <c r="FK34" s="6">
        <f t="shared" si="439"/>
        <v>0</v>
      </c>
      <c r="FL34" s="8">
        <v>0</v>
      </c>
      <c r="FM34" s="6">
        <f t="shared" si="440"/>
        <v>0</v>
      </c>
      <c r="FN34" s="6">
        <v>0</v>
      </c>
      <c r="FO34" s="6">
        <f t="shared" ref="FO34:FO36" si="472">(FN34/$FF$4)*100</f>
        <v>0</v>
      </c>
      <c r="FP34" s="8">
        <v>0</v>
      </c>
      <c r="FQ34" s="6">
        <f>(FG34/$V$4)*100</f>
        <v>100</v>
      </c>
      <c r="FR34" s="6">
        <f t="shared" ref="FR34:FR78" si="473">((FG34-FP34)/$FF$4)*100</f>
        <v>100</v>
      </c>
      <c r="FS34" s="18">
        <f t="shared" ref="FS34:FS78" si="474">IF((AND(FH34=0,FJ34=0)),0,(FJ34+FP34)/(FH34+FJ34)*100)</f>
        <v>0</v>
      </c>
      <c r="FT34" s="6">
        <f>(FV34/($FF$4*FW34))*100</f>
        <v>25.556835637480802</v>
      </c>
      <c r="FU34" s="6">
        <f>SUM(FH34:FJ34,FL34,FN34)</f>
        <v>744</v>
      </c>
      <c r="FV34" s="86">
        <v>3993</v>
      </c>
      <c r="FW34" s="8">
        <v>21</v>
      </c>
      <c r="FY34" s="16" t="s">
        <v>40</v>
      </c>
      <c r="FZ34" s="37" t="s">
        <v>47</v>
      </c>
      <c r="GA34" s="8">
        <v>600</v>
      </c>
      <c r="GB34" s="8">
        <v>193.3</v>
      </c>
      <c r="GC34" s="8">
        <v>406.7</v>
      </c>
      <c r="GD34" s="8">
        <v>120</v>
      </c>
      <c r="GE34" s="6">
        <f>(GD34/$FZ$4)</f>
        <v>0.16666666666666666</v>
      </c>
      <c r="GF34" s="8">
        <v>0</v>
      </c>
      <c r="GG34" s="8">
        <f t="shared" si="431"/>
        <v>0</v>
      </c>
      <c r="GH34" s="8">
        <v>0</v>
      </c>
      <c r="GI34" s="6">
        <f>(GH34/$FZ$4)*100</f>
        <v>0</v>
      </c>
      <c r="GJ34" s="8">
        <v>0</v>
      </c>
      <c r="GK34" s="6">
        <f>(GA34/$V$4)*100</f>
        <v>80.645161290322577</v>
      </c>
      <c r="GL34" s="6">
        <f t="shared" si="432"/>
        <v>83.333333333333343</v>
      </c>
      <c r="GM34" s="6">
        <f t="shared" si="433"/>
        <v>38.301947015639961</v>
      </c>
      <c r="GN34" s="6">
        <f>(GP34/($FZ$4*GQ34))*100</f>
        <v>20.87962962962963</v>
      </c>
      <c r="GO34" s="6">
        <f>SUM(GB34:GD34,GF34,GH34)</f>
        <v>720</v>
      </c>
      <c r="GP34" s="86">
        <v>3157</v>
      </c>
      <c r="GQ34" s="8">
        <v>21</v>
      </c>
      <c r="GS34" s="16" t="s">
        <v>40</v>
      </c>
      <c r="GT34" s="37" t="s">
        <v>47</v>
      </c>
      <c r="GU34" s="8">
        <v>0</v>
      </c>
      <c r="GV34" s="8">
        <v>0</v>
      </c>
      <c r="GW34" s="8">
        <v>0</v>
      </c>
      <c r="GX34" s="8">
        <v>744</v>
      </c>
      <c r="GY34" s="8">
        <f t="shared" si="338"/>
        <v>100</v>
      </c>
      <c r="GZ34" s="8">
        <v>0</v>
      </c>
      <c r="HA34" s="8">
        <f t="shared" si="338"/>
        <v>0</v>
      </c>
      <c r="HB34" s="8">
        <v>0</v>
      </c>
      <c r="HC34" s="6">
        <f>(HB34/$GT$4)*100</f>
        <v>0</v>
      </c>
      <c r="HD34" s="8">
        <v>0</v>
      </c>
      <c r="HE34" s="6">
        <f>(GU34/$GT$4)*100</f>
        <v>0</v>
      </c>
      <c r="HF34" s="8">
        <f t="shared" si="396"/>
        <v>0</v>
      </c>
      <c r="HG34" s="8">
        <f t="shared" si="397"/>
        <v>100</v>
      </c>
      <c r="HH34" s="6">
        <f t="shared" ref="HH34:HH36" si="475">(HJ34/($GT$4*HK34))*100</f>
        <v>0</v>
      </c>
      <c r="HI34" s="6">
        <f>SUM(GV34:GX34,GZ34,HB34)</f>
        <v>744</v>
      </c>
      <c r="HJ34" s="8">
        <v>0</v>
      </c>
      <c r="HK34" s="8">
        <v>21</v>
      </c>
      <c r="HM34" s="16" t="s">
        <v>40</v>
      </c>
      <c r="HN34" s="37" t="s">
        <v>47</v>
      </c>
      <c r="HO34" s="53">
        <v>0</v>
      </c>
      <c r="HP34" s="53">
        <v>0</v>
      </c>
      <c r="HQ34" s="53">
        <v>0</v>
      </c>
      <c r="HR34" s="53">
        <v>720</v>
      </c>
      <c r="HS34" s="6">
        <f>(HR34/$HN$4)*100</f>
        <v>100</v>
      </c>
      <c r="HT34" s="53">
        <v>0</v>
      </c>
      <c r="HU34" s="6">
        <f>(HT34/$HN$4)*100</f>
        <v>0</v>
      </c>
      <c r="HV34" s="53">
        <v>0</v>
      </c>
      <c r="HW34" s="6">
        <f>(HV34/$HN$4)*100</f>
        <v>0</v>
      </c>
      <c r="HX34" s="53">
        <v>0</v>
      </c>
      <c r="HY34" s="6">
        <f>(HO34/$HN$4)*100</f>
        <v>0</v>
      </c>
      <c r="HZ34" s="21">
        <f>((HO34-HX34)/$HN$4)*100</f>
        <v>0</v>
      </c>
      <c r="IA34" s="21">
        <f t="shared" ref="IA34:IA36" si="476">IF((AND(HP34=0,HR34=0)),0,(HR34+HX34)/(HP34+HR34)*100)</f>
        <v>100</v>
      </c>
      <c r="IB34" s="6">
        <f>(ID34/($HN$4*IE34))*100</f>
        <v>0</v>
      </c>
      <c r="IC34" s="6">
        <f>SUM(HP34:HR34,HT34,HV34)</f>
        <v>720</v>
      </c>
      <c r="ID34" s="54">
        <v>0</v>
      </c>
      <c r="IE34" s="8">
        <v>21</v>
      </c>
      <c r="IF34" s="15">
        <v>0</v>
      </c>
    </row>
    <row r="35" spans="1:240" ht="15" x14ac:dyDescent="0.25">
      <c r="A35" s="16" t="s">
        <v>41</v>
      </c>
      <c r="B35" s="37" t="s">
        <v>48</v>
      </c>
      <c r="C35" s="8">
        <v>704</v>
      </c>
      <c r="D35" s="8">
        <v>86.7</v>
      </c>
      <c r="E35" s="8">
        <v>617.29999999999995</v>
      </c>
      <c r="F35" s="8">
        <v>40</v>
      </c>
      <c r="G35" s="6">
        <f t="shared" si="339"/>
        <v>5.376344086021505</v>
      </c>
      <c r="H35" s="8">
        <v>0</v>
      </c>
      <c r="I35" s="6">
        <f t="shared" si="339"/>
        <v>0</v>
      </c>
      <c r="J35" s="6">
        <v>0</v>
      </c>
      <c r="K35" s="6">
        <f t="shared" si="339"/>
        <v>0</v>
      </c>
      <c r="L35" s="8">
        <v>0</v>
      </c>
      <c r="M35" s="6">
        <f t="shared" ref="M35:M36" si="477">(C35/$B$4)*100</f>
        <v>94.623655913978496</v>
      </c>
      <c r="N35" s="6">
        <f t="shared" si="279"/>
        <v>94.623655913978496</v>
      </c>
      <c r="O35" s="6">
        <f t="shared" ref="O35:O36" si="478">IF((AND(D35=0,F35=0)),0,(F35+L35)/(D35+F35)*100)</f>
        <v>31.570639305445937</v>
      </c>
      <c r="P35" s="6">
        <f t="shared" ref="P35:P36" si="479">(R35/($B$4*S35))*100</f>
        <v>9.9014336917562726</v>
      </c>
      <c r="Q35" s="6">
        <f t="shared" ref="Q35:Q36" si="480">SUM(D35:F35,H35,J35)</f>
        <v>744</v>
      </c>
      <c r="R35" s="86">
        <v>1547</v>
      </c>
      <c r="S35" s="8">
        <v>21</v>
      </c>
      <c r="U35" s="16" t="s">
        <v>41</v>
      </c>
      <c r="V35" s="37" t="s">
        <v>48</v>
      </c>
      <c r="W35" s="8">
        <v>744</v>
      </c>
      <c r="X35" s="8">
        <v>199.5</v>
      </c>
      <c r="Y35" s="8">
        <v>544.5</v>
      </c>
      <c r="Z35" s="8">
        <v>0</v>
      </c>
      <c r="AA35" s="8">
        <f t="shared" si="117"/>
        <v>0</v>
      </c>
      <c r="AB35" s="8">
        <v>0</v>
      </c>
      <c r="AC35" s="8">
        <f t="shared" si="118"/>
        <v>0</v>
      </c>
      <c r="AD35" s="6">
        <v>0</v>
      </c>
      <c r="AE35" s="6">
        <f t="shared" si="455"/>
        <v>0</v>
      </c>
      <c r="AF35" s="8">
        <v>0</v>
      </c>
      <c r="AG35" s="6">
        <f t="shared" ref="AG35:AG36" si="481">(W35/$V$4)*100</f>
        <v>100</v>
      </c>
      <c r="AH35" s="8">
        <f t="shared" si="119"/>
        <v>100</v>
      </c>
      <c r="AI35" s="8">
        <f t="shared" si="120"/>
        <v>0</v>
      </c>
      <c r="AJ35" s="6">
        <f t="shared" ref="AJ35:AJ36" si="482">(AL35/($V$4*AM35))*100</f>
        <v>22.875064004096263</v>
      </c>
      <c r="AK35" s="6">
        <f t="shared" ref="AK35:AK36" si="483">SUM(X35:Z35,AB35,AD35)</f>
        <v>744</v>
      </c>
      <c r="AL35" s="86">
        <v>3574</v>
      </c>
      <c r="AM35" s="8">
        <v>21</v>
      </c>
      <c r="AO35" s="16" t="s">
        <v>41</v>
      </c>
      <c r="AP35" s="37" t="s">
        <v>48</v>
      </c>
      <c r="AQ35" s="8">
        <v>720</v>
      </c>
      <c r="AR35" s="8">
        <v>236.8</v>
      </c>
      <c r="AS35" s="8">
        <v>483.2</v>
      </c>
      <c r="AT35" s="8">
        <v>0</v>
      </c>
      <c r="AU35" s="8">
        <f t="shared" si="121"/>
        <v>0</v>
      </c>
      <c r="AV35" s="8">
        <v>0</v>
      </c>
      <c r="AW35" s="8">
        <f t="shared" si="122"/>
        <v>0</v>
      </c>
      <c r="AX35" s="8">
        <v>0</v>
      </c>
      <c r="AY35" s="6">
        <f>(AX35/$AP$4)*100</f>
        <v>0</v>
      </c>
      <c r="AZ35" s="8">
        <v>0</v>
      </c>
      <c r="BA35" s="6">
        <f t="shared" ref="BA35:BA36" si="484">(AQ35/$AP$4)*100</f>
        <v>100</v>
      </c>
      <c r="BB35" s="6">
        <f t="shared" si="456"/>
        <v>100</v>
      </c>
      <c r="BC35" s="15">
        <f t="shared" si="457"/>
        <v>0</v>
      </c>
      <c r="BD35" s="6">
        <f t="shared" si="458"/>
        <v>28.12169312169312</v>
      </c>
      <c r="BE35" s="6">
        <f t="shared" ref="BE35:BE36" si="485">SUM(AR35:AT35,AV35,AX35)</f>
        <v>720</v>
      </c>
      <c r="BF35" s="8">
        <v>4252</v>
      </c>
      <c r="BG35" s="8">
        <v>21</v>
      </c>
      <c r="BI35" s="16" t="s">
        <v>41</v>
      </c>
      <c r="BJ35" s="37" t="s">
        <v>48</v>
      </c>
      <c r="BK35" s="8">
        <v>744</v>
      </c>
      <c r="BL35" s="8">
        <v>235.1</v>
      </c>
      <c r="BM35" s="8">
        <v>508.9</v>
      </c>
      <c r="BN35" s="8">
        <v>0</v>
      </c>
      <c r="BO35" s="6">
        <f t="shared" si="126"/>
        <v>0</v>
      </c>
      <c r="BP35" s="8">
        <v>0</v>
      </c>
      <c r="BQ35" s="8">
        <f t="shared" si="127"/>
        <v>0</v>
      </c>
      <c r="BR35" s="8">
        <v>0</v>
      </c>
      <c r="BS35" s="6">
        <f>(BR35/$BJ$4)*100</f>
        <v>0</v>
      </c>
      <c r="BT35" s="8">
        <v>0</v>
      </c>
      <c r="BU35" s="6">
        <f t="shared" si="459"/>
        <v>100</v>
      </c>
      <c r="BV35" s="6">
        <f t="shared" si="460"/>
        <v>100</v>
      </c>
      <c r="BW35" s="6">
        <f t="shared" si="461"/>
        <v>0</v>
      </c>
      <c r="BX35" s="6">
        <f t="shared" si="462"/>
        <v>26.920122887864821</v>
      </c>
      <c r="BY35" s="6">
        <f t="shared" ref="BY35:BY36" si="486">SUM(BL35:BN35,BP35,BR35)</f>
        <v>744</v>
      </c>
      <c r="BZ35" s="86">
        <v>4206</v>
      </c>
      <c r="CA35" s="8">
        <v>21</v>
      </c>
      <c r="CC35" s="16" t="s">
        <v>41</v>
      </c>
      <c r="CD35" s="37" t="s">
        <v>48</v>
      </c>
      <c r="CE35" s="8">
        <v>720</v>
      </c>
      <c r="CF35" s="8">
        <v>69.7</v>
      </c>
      <c r="CG35" s="8">
        <v>650.29999999999995</v>
      </c>
      <c r="CH35" s="8">
        <v>0</v>
      </c>
      <c r="CI35" s="8">
        <f t="shared" si="413"/>
        <v>0</v>
      </c>
      <c r="CJ35" s="8">
        <v>0</v>
      </c>
      <c r="CK35" s="8">
        <f t="shared" si="414"/>
        <v>0</v>
      </c>
      <c r="CL35" s="8">
        <v>0</v>
      </c>
      <c r="CM35" s="6">
        <f t="shared" ref="CM35" si="487">(CL35/$CD$4)*100</f>
        <v>0</v>
      </c>
      <c r="CN35" s="8">
        <v>0</v>
      </c>
      <c r="CO35" s="6">
        <f>(CE35/$CD$4)*100</f>
        <v>100</v>
      </c>
      <c r="CP35" s="6">
        <f t="shared" si="132"/>
        <v>100</v>
      </c>
      <c r="CQ35" s="18">
        <f t="shared" si="415"/>
        <v>0</v>
      </c>
      <c r="CR35" s="6">
        <f t="shared" si="463"/>
        <v>8.1283068783068781</v>
      </c>
      <c r="CS35" s="6">
        <f t="shared" ref="CS35:CS36" si="488">SUM(CF35:CH35,CJ35,CL35)</f>
        <v>720</v>
      </c>
      <c r="CT35" s="86">
        <v>1229</v>
      </c>
      <c r="CU35" s="8">
        <v>21</v>
      </c>
      <c r="CW35" s="16" t="s">
        <v>41</v>
      </c>
      <c r="CX35" s="37" t="s">
        <v>48</v>
      </c>
      <c r="CY35" s="8">
        <v>744</v>
      </c>
      <c r="CZ35" s="8">
        <v>105.8</v>
      </c>
      <c r="DA35" s="8">
        <v>638.20000000000005</v>
      </c>
      <c r="DB35" s="8">
        <v>0</v>
      </c>
      <c r="DC35" s="6">
        <f t="shared" si="416"/>
        <v>0</v>
      </c>
      <c r="DD35" s="8">
        <v>0</v>
      </c>
      <c r="DE35" s="6">
        <f t="shared" si="417"/>
        <v>0</v>
      </c>
      <c r="DF35" s="6">
        <v>0</v>
      </c>
      <c r="DG35" s="6">
        <f>(DF35/$CX$4)*100</f>
        <v>0</v>
      </c>
      <c r="DH35" s="8">
        <v>0</v>
      </c>
      <c r="DI35" s="6">
        <f t="shared" ref="DI35:DI36" si="489">(CY35/$V$4)*100</f>
        <v>100</v>
      </c>
      <c r="DJ35" s="6">
        <f t="shared" si="464"/>
        <v>100</v>
      </c>
      <c r="DK35" s="18">
        <f t="shared" si="465"/>
        <v>0</v>
      </c>
      <c r="DL35" s="6">
        <f>(DN35/($CX$4*DO35))*100</f>
        <v>11.981566820276496</v>
      </c>
      <c r="DM35" s="6">
        <f t="shared" ref="DM35:DM36" si="490">SUM(CZ35:DB35,DD35,DF35)</f>
        <v>744</v>
      </c>
      <c r="DN35" s="85">
        <v>1872</v>
      </c>
      <c r="DO35" s="8">
        <v>21</v>
      </c>
      <c r="DQ35" s="16" t="s">
        <v>41</v>
      </c>
      <c r="DR35" s="37" t="s">
        <v>48</v>
      </c>
      <c r="DS35" s="8">
        <v>732</v>
      </c>
      <c r="DT35" s="8">
        <v>137</v>
      </c>
      <c r="DU35" s="8">
        <v>595</v>
      </c>
      <c r="DV35" s="8">
        <v>12</v>
      </c>
      <c r="DW35" s="6">
        <f t="shared" si="420"/>
        <v>1.6129032258064515</v>
      </c>
      <c r="DX35" s="8">
        <v>0</v>
      </c>
      <c r="DY35" s="6">
        <f t="shared" si="421"/>
        <v>0</v>
      </c>
      <c r="DZ35" s="6">
        <v>0</v>
      </c>
      <c r="EA35" s="6">
        <f>(DZ35/$DR$4)*100</f>
        <v>0</v>
      </c>
      <c r="EB35" s="8">
        <v>0</v>
      </c>
      <c r="EC35" s="6">
        <f t="shared" ref="EC35:EC36" si="491">(DS35/$V$4)*100</f>
        <v>98.387096774193552</v>
      </c>
      <c r="ED35" s="6">
        <f t="shared" si="467"/>
        <v>98.387096774193552</v>
      </c>
      <c r="EE35" s="18">
        <f t="shared" si="468"/>
        <v>8.0536912751677843</v>
      </c>
      <c r="EF35" s="6">
        <f t="shared" ref="EF35" si="492">(EH35/($DR$4*EI35))*100</f>
        <v>16.199436763952892</v>
      </c>
      <c r="EG35" s="6">
        <f t="shared" ref="EG35:EG36" si="493">SUM(DT35:DV35,DX35,DZ35)</f>
        <v>744</v>
      </c>
      <c r="EH35" s="86">
        <v>2531</v>
      </c>
      <c r="EI35" s="8">
        <v>21</v>
      </c>
      <c r="EK35" s="16" t="s">
        <v>41</v>
      </c>
      <c r="EL35" s="37" t="s">
        <v>48</v>
      </c>
      <c r="EM35" s="8">
        <v>672</v>
      </c>
      <c r="EN35" s="8">
        <v>116.3</v>
      </c>
      <c r="EO35" s="8">
        <v>555.70000000000005</v>
      </c>
      <c r="EP35" s="8">
        <v>0</v>
      </c>
      <c r="EQ35" s="6">
        <f t="shared" si="424"/>
        <v>0</v>
      </c>
      <c r="ER35" s="8">
        <v>0</v>
      </c>
      <c r="ES35" s="6">
        <f t="shared" si="425"/>
        <v>0</v>
      </c>
      <c r="ET35" s="6">
        <v>0</v>
      </c>
      <c r="EU35" s="6">
        <f>(ET35/$EL$4)*100</f>
        <v>0</v>
      </c>
      <c r="EV35" s="8">
        <v>0</v>
      </c>
      <c r="EW35" s="6">
        <f t="shared" ref="EW35:EW36" si="494">(EM35/$V$4)*100</f>
        <v>90.322580645161281</v>
      </c>
      <c r="EX35" s="6">
        <f t="shared" si="469"/>
        <v>100</v>
      </c>
      <c r="EY35" s="18">
        <f t="shared" si="470"/>
        <v>0</v>
      </c>
      <c r="EZ35" s="6">
        <f t="shared" si="471"/>
        <v>15.143140589569162</v>
      </c>
      <c r="FA35" s="6">
        <f t="shared" ref="FA35:FA36" si="495">SUM(EN35:EP35,ER35,ET35)</f>
        <v>672</v>
      </c>
      <c r="FB35" s="86">
        <v>2137</v>
      </c>
      <c r="FC35" s="8">
        <v>21</v>
      </c>
      <c r="FE35" s="16" t="s">
        <v>41</v>
      </c>
      <c r="FF35" s="37" t="s">
        <v>48</v>
      </c>
      <c r="FG35" s="8">
        <v>744</v>
      </c>
      <c r="FH35" s="8">
        <v>286.10000000000002</v>
      </c>
      <c r="FI35" s="8">
        <v>457.9</v>
      </c>
      <c r="FJ35" s="8">
        <v>0</v>
      </c>
      <c r="FK35" s="6">
        <f t="shared" si="439"/>
        <v>0</v>
      </c>
      <c r="FL35" s="8">
        <v>0</v>
      </c>
      <c r="FM35" s="6">
        <f t="shared" si="440"/>
        <v>0</v>
      </c>
      <c r="FN35" s="6">
        <v>0</v>
      </c>
      <c r="FO35" s="6">
        <f t="shared" si="472"/>
        <v>0</v>
      </c>
      <c r="FP35" s="8">
        <v>0</v>
      </c>
      <c r="FQ35" s="6">
        <f t="shared" ref="FQ35:FQ36" si="496">(FG35/$V$4)*100</f>
        <v>100</v>
      </c>
      <c r="FR35" s="6">
        <f t="shared" si="473"/>
        <v>100</v>
      </c>
      <c r="FS35" s="18">
        <f t="shared" si="474"/>
        <v>0</v>
      </c>
      <c r="FT35" s="6">
        <f t="shared" ref="FT35" si="497">(FV35/($FF$4*FW35))*100</f>
        <v>35.170250896057347</v>
      </c>
      <c r="FU35" s="6">
        <f t="shared" ref="FU35:FU36" si="498">SUM(FH35:FJ35,FL35,FN35)</f>
        <v>744</v>
      </c>
      <c r="FV35" s="86">
        <v>5495</v>
      </c>
      <c r="FW35" s="8">
        <v>21</v>
      </c>
      <c r="FY35" s="16" t="s">
        <v>41</v>
      </c>
      <c r="FZ35" s="37" t="s">
        <v>48</v>
      </c>
      <c r="GA35" s="8">
        <v>720</v>
      </c>
      <c r="GB35" s="8">
        <v>405</v>
      </c>
      <c r="GC35" s="8">
        <v>315</v>
      </c>
      <c r="GD35" s="8">
        <v>0</v>
      </c>
      <c r="GE35" s="8">
        <f>(GD35/$FZ$4)</f>
        <v>0</v>
      </c>
      <c r="GF35" s="8">
        <v>0</v>
      </c>
      <c r="GG35" s="8">
        <f t="shared" si="431"/>
        <v>0</v>
      </c>
      <c r="GH35" s="8">
        <v>0</v>
      </c>
      <c r="GI35" s="6">
        <f t="shared" ref="GI35" si="499">(GH35/$FZ$4)*100</f>
        <v>0</v>
      </c>
      <c r="GJ35" s="8">
        <v>0</v>
      </c>
      <c r="GK35" s="6">
        <f t="shared" ref="GK35:GK36" si="500">(GA35/$V$4)*100</f>
        <v>96.774193548387103</v>
      </c>
      <c r="GL35" s="8">
        <f t="shared" si="432"/>
        <v>100</v>
      </c>
      <c r="GM35" s="8">
        <f t="shared" si="433"/>
        <v>0</v>
      </c>
      <c r="GN35" s="6">
        <f>(GP35/($FZ$4*GQ35))*100</f>
        <v>51.547619047619044</v>
      </c>
      <c r="GO35" s="6">
        <f t="shared" ref="GO35:GO36" si="501">SUM(GB35:GD35,GF35,GH35)</f>
        <v>720</v>
      </c>
      <c r="GP35" s="86">
        <v>7794</v>
      </c>
      <c r="GQ35" s="8">
        <v>21</v>
      </c>
      <c r="GS35" s="16" t="s">
        <v>41</v>
      </c>
      <c r="GT35" s="37" t="s">
        <v>48</v>
      </c>
      <c r="GU35" s="8">
        <v>744</v>
      </c>
      <c r="GV35" s="8">
        <v>168.8</v>
      </c>
      <c r="GW35" s="8">
        <v>575.20000000000005</v>
      </c>
      <c r="GX35" s="8">
        <v>0</v>
      </c>
      <c r="GY35" s="8">
        <f t="shared" si="338"/>
        <v>0</v>
      </c>
      <c r="GZ35" s="8">
        <v>0</v>
      </c>
      <c r="HA35" s="8">
        <f t="shared" si="338"/>
        <v>0</v>
      </c>
      <c r="HB35" s="8">
        <v>0</v>
      </c>
      <c r="HC35" s="6">
        <f>(HB35/$GT$4)*100</f>
        <v>0</v>
      </c>
      <c r="HD35" s="8">
        <v>0</v>
      </c>
      <c r="HE35" s="6">
        <f t="shared" ref="HE35:HE36" si="502">(GU35/$GT$4)*100</f>
        <v>100</v>
      </c>
      <c r="HF35" s="8">
        <f t="shared" si="396"/>
        <v>100</v>
      </c>
      <c r="HG35" s="8">
        <f t="shared" si="397"/>
        <v>0</v>
      </c>
      <c r="HH35" s="6">
        <f t="shared" si="475"/>
        <v>20.602918586789553</v>
      </c>
      <c r="HI35" s="6">
        <f t="shared" ref="HI35:HI36" si="503">SUM(GV35:GX35,GZ35,HB35)</f>
        <v>744</v>
      </c>
      <c r="HJ35" s="86">
        <v>3219</v>
      </c>
      <c r="HK35" s="8">
        <v>21</v>
      </c>
      <c r="HM35" s="16" t="s">
        <v>41</v>
      </c>
      <c r="HN35" s="37" t="s">
        <v>48</v>
      </c>
      <c r="HO35" s="53">
        <v>720</v>
      </c>
      <c r="HP35" s="53">
        <v>197.09999999999991</v>
      </c>
      <c r="HQ35" s="53">
        <v>522.90000000000009</v>
      </c>
      <c r="HR35" s="53">
        <v>0</v>
      </c>
      <c r="HS35" s="6">
        <f t="shared" ref="HS35" si="504">(HR35/$HN$4)*100</f>
        <v>0</v>
      </c>
      <c r="HT35" s="53">
        <v>0</v>
      </c>
      <c r="HU35" s="6">
        <f t="shared" ref="HU35" si="505">(HT35/$HN$4)*100</f>
        <v>0</v>
      </c>
      <c r="HV35" s="53">
        <v>0</v>
      </c>
      <c r="HW35" s="6">
        <f t="shared" ref="HW35" si="506">(HV35/$HN$4)*100</f>
        <v>0</v>
      </c>
      <c r="HX35" s="53">
        <v>0</v>
      </c>
      <c r="HY35" s="6">
        <f>(HO35/$HN$4)*100</f>
        <v>100</v>
      </c>
      <c r="HZ35" s="21">
        <f>((HO35-HX35)/$HN$4)*100</f>
        <v>100</v>
      </c>
      <c r="IA35" s="6">
        <f t="shared" si="476"/>
        <v>0</v>
      </c>
      <c r="IB35" s="6">
        <f>(ID35/($HN$4*IE35))*100</f>
        <v>23.538359788359788</v>
      </c>
      <c r="IC35" s="6">
        <f t="shared" ref="IC35:IC36" si="507">SUM(HP35:HR35,HT35,HV35)</f>
        <v>720</v>
      </c>
      <c r="ID35" s="54">
        <v>3559</v>
      </c>
      <c r="IE35" s="8">
        <v>21</v>
      </c>
      <c r="IF35" s="15">
        <v>21</v>
      </c>
    </row>
    <row r="36" spans="1:240" ht="14.25" x14ac:dyDescent="0.25">
      <c r="B36" s="37" t="s">
        <v>52</v>
      </c>
      <c r="C36" s="8">
        <v>744</v>
      </c>
      <c r="D36" s="8">
        <v>92.4</v>
      </c>
      <c r="E36" s="8">
        <v>651.6</v>
      </c>
      <c r="F36" s="8">
        <v>0</v>
      </c>
      <c r="G36" s="6">
        <f t="shared" si="339"/>
        <v>0</v>
      </c>
      <c r="H36" s="8">
        <v>0</v>
      </c>
      <c r="I36" s="6">
        <f t="shared" si="339"/>
        <v>0</v>
      </c>
      <c r="J36" s="6">
        <v>0</v>
      </c>
      <c r="K36" s="6">
        <f t="shared" si="339"/>
        <v>0</v>
      </c>
      <c r="L36" s="8">
        <v>0</v>
      </c>
      <c r="M36" s="8">
        <f t="shared" si="477"/>
        <v>100</v>
      </c>
      <c r="N36" s="8">
        <f t="shared" si="279"/>
        <v>100</v>
      </c>
      <c r="O36" s="8">
        <f t="shared" si="478"/>
        <v>0</v>
      </c>
      <c r="P36" s="6">
        <f t="shared" si="479"/>
        <v>10.573476702508961</v>
      </c>
      <c r="Q36" s="6">
        <f t="shared" si="480"/>
        <v>744</v>
      </c>
      <c r="R36" s="86">
        <v>1652</v>
      </c>
      <c r="S36" s="8">
        <v>21</v>
      </c>
      <c r="V36" s="37" t="s">
        <v>52</v>
      </c>
      <c r="W36" s="8">
        <v>744</v>
      </c>
      <c r="X36" s="8">
        <v>145.1</v>
      </c>
      <c r="Y36" s="8">
        <v>598.9</v>
      </c>
      <c r="Z36" s="8">
        <v>0</v>
      </c>
      <c r="AA36" s="8">
        <f t="shared" si="117"/>
        <v>0</v>
      </c>
      <c r="AB36" s="8">
        <v>0</v>
      </c>
      <c r="AC36" s="8">
        <f t="shared" si="118"/>
        <v>0</v>
      </c>
      <c r="AD36" s="6">
        <v>0</v>
      </c>
      <c r="AE36" s="6">
        <f t="shared" si="455"/>
        <v>0</v>
      </c>
      <c r="AF36" s="8">
        <v>0</v>
      </c>
      <c r="AG36" s="6">
        <f t="shared" si="481"/>
        <v>100</v>
      </c>
      <c r="AH36" s="8">
        <f t="shared" si="119"/>
        <v>100</v>
      </c>
      <c r="AI36" s="8">
        <f t="shared" si="120"/>
        <v>0</v>
      </c>
      <c r="AJ36" s="6">
        <f t="shared" si="482"/>
        <v>22.791858678955453</v>
      </c>
      <c r="AK36" s="6">
        <f t="shared" si="483"/>
        <v>744</v>
      </c>
      <c r="AL36" s="86">
        <v>3561</v>
      </c>
      <c r="AM36" s="8">
        <v>21</v>
      </c>
      <c r="AP36" s="37" t="s">
        <v>52</v>
      </c>
      <c r="AQ36" s="8">
        <v>720</v>
      </c>
      <c r="AR36" s="8">
        <v>373.1</v>
      </c>
      <c r="AS36" s="8">
        <v>346.9</v>
      </c>
      <c r="AT36" s="8">
        <v>0</v>
      </c>
      <c r="AU36" s="8">
        <f t="shared" si="121"/>
        <v>0</v>
      </c>
      <c r="AV36" s="8">
        <v>0</v>
      </c>
      <c r="AW36" s="8">
        <f t="shared" si="122"/>
        <v>0</v>
      </c>
      <c r="AX36" s="8">
        <v>0</v>
      </c>
      <c r="AY36" s="6">
        <f>(AX36/$AP$4)*100</f>
        <v>0</v>
      </c>
      <c r="AZ36" s="8">
        <v>0</v>
      </c>
      <c r="BA36" s="6">
        <f t="shared" si="484"/>
        <v>100</v>
      </c>
      <c r="BB36" s="6">
        <f t="shared" si="456"/>
        <v>100</v>
      </c>
      <c r="BC36" s="15">
        <f t="shared" si="457"/>
        <v>0</v>
      </c>
      <c r="BD36" s="6">
        <f t="shared" si="458"/>
        <v>27.407407407407408</v>
      </c>
      <c r="BE36" s="6">
        <f t="shared" si="485"/>
        <v>720</v>
      </c>
      <c r="BF36" s="8">
        <v>4144</v>
      </c>
      <c r="BG36" s="8">
        <v>21</v>
      </c>
      <c r="BJ36" s="37" t="s">
        <v>52</v>
      </c>
      <c r="BK36" s="8">
        <v>744</v>
      </c>
      <c r="BL36" s="8">
        <v>250.3</v>
      </c>
      <c r="BM36" s="8">
        <v>493.7</v>
      </c>
      <c r="BN36" s="8">
        <v>0</v>
      </c>
      <c r="BO36" s="6">
        <f t="shared" si="126"/>
        <v>0</v>
      </c>
      <c r="BP36" s="8">
        <v>0</v>
      </c>
      <c r="BQ36" s="8">
        <f t="shared" si="127"/>
        <v>0</v>
      </c>
      <c r="BR36" s="8">
        <v>0</v>
      </c>
      <c r="BS36" s="6">
        <f>(BR36/$BJ$4)*100</f>
        <v>0</v>
      </c>
      <c r="BT36" s="8">
        <v>0</v>
      </c>
      <c r="BU36" s="6">
        <f t="shared" si="459"/>
        <v>100</v>
      </c>
      <c r="BV36" s="6">
        <f t="shared" si="460"/>
        <v>100</v>
      </c>
      <c r="BW36" s="6">
        <f t="shared" si="461"/>
        <v>0</v>
      </c>
      <c r="BX36" s="6">
        <f t="shared" si="462"/>
        <v>28.686635944700463</v>
      </c>
      <c r="BY36" s="6">
        <f t="shared" si="486"/>
        <v>744</v>
      </c>
      <c r="BZ36" s="86">
        <v>4482</v>
      </c>
      <c r="CA36" s="8">
        <v>21</v>
      </c>
      <c r="CD36" s="37" t="s">
        <v>52</v>
      </c>
      <c r="CE36" s="8">
        <v>699</v>
      </c>
      <c r="CF36" s="8">
        <v>69</v>
      </c>
      <c r="CG36" s="8">
        <v>630</v>
      </c>
      <c r="CH36" s="8">
        <v>21</v>
      </c>
      <c r="CI36" s="6">
        <f t="shared" si="413"/>
        <v>2.9166666666666665</v>
      </c>
      <c r="CJ36" s="8">
        <v>0</v>
      </c>
      <c r="CK36" s="8">
        <f t="shared" si="414"/>
        <v>0</v>
      </c>
      <c r="CL36" s="8">
        <v>0</v>
      </c>
      <c r="CM36" s="6">
        <f>(CL36/$CD$4)*100</f>
        <v>0</v>
      </c>
      <c r="CN36" s="8">
        <v>0</v>
      </c>
      <c r="CO36" s="6">
        <f>(CE36/$CD$4)*100</f>
        <v>97.083333333333329</v>
      </c>
      <c r="CP36" s="6">
        <f t="shared" si="132"/>
        <v>97.083333333333329</v>
      </c>
      <c r="CQ36" s="18">
        <f t="shared" si="415"/>
        <v>23.333333333333332</v>
      </c>
      <c r="CR36" s="6">
        <f t="shared" si="463"/>
        <v>8.075396825396826</v>
      </c>
      <c r="CS36" s="6">
        <f t="shared" si="488"/>
        <v>720</v>
      </c>
      <c r="CT36" s="86">
        <v>1221</v>
      </c>
      <c r="CU36" s="8">
        <v>21</v>
      </c>
      <c r="CX36" s="37" t="s">
        <v>52</v>
      </c>
      <c r="CY36" s="8">
        <v>723</v>
      </c>
      <c r="CZ36" s="8">
        <v>106.7</v>
      </c>
      <c r="DA36" s="8">
        <v>616.29999999999995</v>
      </c>
      <c r="DB36" s="8">
        <v>21</v>
      </c>
      <c r="DC36" s="6">
        <f t="shared" si="416"/>
        <v>2.82258064516129</v>
      </c>
      <c r="DD36" s="8">
        <v>0</v>
      </c>
      <c r="DE36" s="6">
        <f t="shared" si="417"/>
        <v>0</v>
      </c>
      <c r="DF36" s="6">
        <v>0</v>
      </c>
      <c r="DG36" s="6">
        <f t="shared" ref="DG36" si="508">(DF36/$CX$4)*100</f>
        <v>0</v>
      </c>
      <c r="DH36" s="8">
        <v>0</v>
      </c>
      <c r="DI36" s="6">
        <f t="shared" si="489"/>
        <v>97.177419354838719</v>
      </c>
      <c r="DJ36" s="6">
        <f t="shared" si="464"/>
        <v>97.177419354838719</v>
      </c>
      <c r="DK36" s="18">
        <f t="shared" si="465"/>
        <v>16.444792482380581</v>
      </c>
      <c r="DL36" s="6">
        <f t="shared" si="466"/>
        <v>12.46799795186892</v>
      </c>
      <c r="DM36" s="6">
        <f t="shared" si="490"/>
        <v>744</v>
      </c>
      <c r="DN36" s="85">
        <v>1948</v>
      </c>
      <c r="DO36" s="8">
        <v>21</v>
      </c>
      <c r="DR36" s="37" t="s">
        <v>52</v>
      </c>
      <c r="DS36" s="8">
        <v>504</v>
      </c>
      <c r="DT36" s="8">
        <v>97.4</v>
      </c>
      <c r="DU36" s="8">
        <v>406.6</v>
      </c>
      <c r="DV36" s="8">
        <v>240</v>
      </c>
      <c r="DW36" s="6">
        <f t="shared" si="420"/>
        <v>32.258064516129032</v>
      </c>
      <c r="DX36" s="8">
        <v>0</v>
      </c>
      <c r="DY36" s="6">
        <f t="shared" si="421"/>
        <v>0</v>
      </c>
      <c r="DZ36" s="6">
        <v>0</v>
      </c>
      <c r="EA36" s="6">
        <f>(DZ36/$DR$4)*100</f>
        <v>0</v>
      </c>
      <c r="EB36" s="8">
        <v>0</v>
      </c>
      <c r="EC36" s="6">
        <f t="shared" si="491"/>
        <v>67.741935483870961</v>
      </c>
      <c r="ED36" s="6">
        <f t="shared" si="467"/>
        <v>67.741935483870961</v>
      </c>
      <c r="EE36" s="18">
        <f t="shared" si="468"/>
        <v>71.132187314759932</v>
      </c>
      <c r="EF36" s="6">
        <f>(EH36/($DR$4*EI36))*100</f>
        <v>11.437532002048131</v>
      </c>
      <c r="EG36" s="6">
        <f t="shared" si="493"/>
        <v>744</v>
      </c>
      <c r="EH36" s="86">
        <v>1787</v>
      </c>
      <c r="EI36" s="8">
        <v>21</v>
      </c>
      <c r="EL36" s="37" t="s">
        <v>52</v>
      </c>
      <c r="EM36" s="8">
        <v>0</v>
      </c>
      <c r="EN36" s="8">
        <v>0</v>
      </c>
      <c r="EO36" s="8">
        <v>0</v>
      </c>
      <c r="EP36" s="8">
        <v>672</v>
      </c>
      <c r="EQ36" s="6">
        <f t="shared" si="424"/>
        <v>100</v>
      </c>
      <c r="ER36" s="8">
        <v>0</v>
      </c>
      <c r="ES36" s="6">
        <f t="shared" si="425"/>
        <v>0</v>
      </c>
      <c r="ET36" s="6">
        <v>0</v>
      </c>
      <c r="EU36" s="6">
        <f>(ET36/$EL$4)*100</f>
        <v>0</v>
      </c>
      <c r="EV36" s="8">
        <v>0</v>
      </c>
      <c r="EW36" s="6">
        <f t="shared" si="494"/>
        <v>0</v>
      </c>
      <c r="EX36" s="6">
        <f t="shared" si="469"/>
        <v>0</v>
      </c>
      <c r="EY36" s="18">
        <f t="shared" si="470"/>
        <v>100</v>
      </c>
      <c r="EZ36" s="6">
        <f t="shared" si="471"/>
        <v>0</v>
      </c>
      <c r="FA36" s="6">
        <f t="shared" si="495"/>
        <v>672</v>
      </c>
      <c r="FB36" s="8">
        <v>0</v>
      </c>
      <c r="FC36" s="8">
        <v>21</v>
      </c>
      <c r="FF36" s="37" t="s">
        <v>52</v>
      </c>
      <c r="FG36" s="8">
        <v>3.7</v>
      </c>
      <c r="FH36" s="8">
        <v>2.7</v>
      </c>
      <c r="FI36" s="8">
        <v>1</v>
      </c>
      <c r="FJ36" s="8">
        <v>740.3</v>
      </c>
      <c r="FK36" s="6">
        <f t="shared" si="439"/>
        <v>99.502688172043008</v>
      </c>
      <c r="FL36" s="8">
        <v>0</v>
      </c>
      <c r="FM36" s="6">
        <f t="shared" si="440"/>
        <v>0</v>
      </c>
      <c r="FN36" s="6">
        <v>0</v>
      </c>
      <c r="FO36" s="6">
        <f t="shared" si="472"/>
        <v>0</v>
      </c>
      <c r="FP36" s="8">
        <v>0</v>
      </c>
      <c r="FQ36" s="6">
        <f t="shared" si="496"/>
        <v>0.49731182795698925</v>
      </c>
      <c r="FR36" s="6">
        <f t="shared" si="473"/>
        <v>0.49731182795698925</v>
      </c>
      <c r="FS36" s="18">
        <f t="shared" si="474"/>
        <v>99.636608344549117</v>
      </c>
      <c r="FT36" s="6">
        <f>(FV36/($FF$4*FW36))*100</f>
        <v>0.2240143369175627</v>
      </c>
      <c r="FU36" s="6">
        <f t="shared" si="498"/>
        <v>744</v>
      </c>
      <c r="FV36" s="8">
        <v>35</v>
      </c>
      <c r="FW36" s="8">
        <v>21</v>
      </c>
      <c r="FZ36" s="37" t="s">
        <v>52</v>
      </c>
      <c r="GA36" s="8">
        <v>0</v>
      </c>
      <c r="GB36" s="8">
        <v>0</v>
      </c>
      <c r="GC36" s="8">
        <v>0</v>
      </c>
      <c r="GD36" s="8">
        <v>720</v>
      </c>
      <c r="GE36" s="8">
        <f>(GD36/$FZ$4)</f>
        <v>1</v>
      </c>
      <c r="GF36" s="8">
        <v>0</v>
      </c>
      <c r="GG36" s="8">
        <f t="shared" si="431"/>
        <v>0</v>
      </c>
      <c r="GH36" s="8">
        <v>0</v>
      </c>
      <c r="GI36" s="6">
        <f>(GH36/$FZ$4)*100</f>
        <v>0</v>
      </c>
      <c r="GJ36" s="8">
        <v>0</v>
      </c>
      <c r="GK36" s="6">
        <f t="shared" si="500"/>
        <v>0</v>
      </c>
      <c r="GL36" s="8">
        <f t="shared" si="432"/>
        <v>0</v>
      </c>
      <c r="GM36" s="6">
        <f t="shared" si="433"/>
        <v>100</v>
      </c>
      <c r="GN36" s="6">
        <f>(GP36/($FZ$4*GQ36))*100</f>
        <v>0</v>
      </c>
      <c r="GO36" s="6">
        <f t="shared" si="501"/>
        <v>720</v>
      </c>
      <c r="GP36" s="8">
        <v>0</v>
      </c>
      <c r="GQ36" s="8">
        <v>21</v>
      </c>
      <c r="GT36" s="37" t="s">
        <v>52</v>
      </c>
      <c r="GU36" s="8">
        <v>0</v>
      </c>
      <c r="GV36" s="8">
        <v>0</v>
      </c>
      <c r="GW36" s="8">
        <v>0</v>
      </c>
      <c r="GX36" s="8">
        <v>744</v>
      </c>
      <c r="GY36" s="8">
        <f t="shared" si="338"/>
        <v>100</v>
      </c>
      <c r="GZ36" s="8">
        <v>0</v>
      </c>
      <c r="HA36" s="8">
        <f t="shared" si="338"/>
        <v>0</v>
      </c>
      <c r="HB36" s="8">
        <v>0</v>
      </c>
      <c r="HC36" s="6">
        <f t="shared" ref="HC36" si="509">(HB36/$GT$4)*100</f>
        <v>0</v>
      </c>
      <c r="HD36" s="8">
        <v>0</v>
      </c>
      <c r="HE36" s="6">
        <f t="shared" si="502"/>
        <v>0</v>
      </c>
      <c r="HF36" s="8">
        <f t="shared" si="396"/>
        <v>0</v>
      </c>
      <c r="HG36" s="8">
        <f t="shared" si="397"/>
        <v>100</v>
      </c>
      <c r="HH36" s="6">
        <f t="shared" si="475"/>
        <v>0</v>
      </c>
      <c r="HI36" s="6">
        <f t="shared" si="503"/>
        <v>744</v>
      </c>
      <c r="HJ36" s="8">
        <v>0</v>
      </c>
      <c r="HK36" s="8">
        <v>21</v>
      </c>
      <c r="HN36" s="37" t="s">
        <v>52</v>
      </c>
      <c r="HO36" s="53">
        <v>0</v>
      </c>
      <c r="HP36" s="53">
        <v>0</v>
      </c>
      <c r="HQ36" s="53">
        <v>0</v>
      </c>
      <c r="HR36" s="53">
        <v>720</v>
      </c>
      <c r="HS36" s="6">
        <f>(HR36/$HN$4)*100</f>
        <v>100</v>
      </c>
      <c r="HT36" s="53">
        <v>0</v>
      </c>
      <c r="HU36" s="6">
        <f>(HT36/$HN$4)*100</f>
        <v>0</v>
      </c>
      <c r="HV36" s="53">
        <v>0</v>
      </c>
      <c r="HW36" s="6">
        <f>(HV36/$HN$4)*100</f>
        <v>0</v>
      </c>
      <c r="HX36" s="53">
        <v>0</v>
      </c>
      <c r="HY36" s="6">
        <f>(HO36/$HN$4)*100</f>
        <v>0</v>
      </c>
      <c r="HZ36" s="21">
        <f>((HO36-HX36)/$HN$4)*100</f>
        <v>0</v>
      </c>
      <c r="IA36" s="21">
        <f t="shared" si="476"/>
        <v>100</v>
      </c>
      <c r="IB36" s="6">
        <f>(ID36/($HN$4*IE36))*100</f>
        <v>0</v>
      </c>
      <c r="IC36" s="6">
        <f t="shared" si="507"/>
        <v>720</v>
      </c>
      <c r="ID36" s="54">
        <v>0</v>
      </c>
      <c r="IE36" s="8">
        <v>21</v>
      </c>
      <c r="IF36" s="15">
        <v>0</v>
      </c>
    </row>
    <row r="37" spans="1:240" ht="15" x14ac:dyDescent="0.25">
      <c r="B37" s="24" t="s">
        <v>39</v>
      </c>
      <c r="C37" s="25">
        <f>SUM(C34:C36)</f>
        <v>2192</v>
      </c>
      <c r="D37" s="25">
        <f t="shared" ref="D37:L37" si="510">SUM(D34:D36)</f>
        <v>278.8</v>
      </c>
      <c r="E37" s="25">
        <f t="shared" si="510"/>
        <v>1913.1999999999998</v>
      </c>
      <c r="F37" s="25">
        <f t="shared" si="510"/>
        <v>40</v>
      </c>
      <c r="G37" s="26">
        <f>(G34*S34+G35*S35+G36*S36)/S37</f>
        <v>1.7921146953405016</v>
      </c>
      <c r="H37" s="25">
        <f t="shared" si="510"/>
        <v>0</v>
      </c>
      <c r="I37" s="26">
        <f>(I34*S34+I35*S35+I36*S36)/S37</f>
        <v>0</v>
      </c>
      <c r="J37" s="25">
        <f t="shared" si="510"/>
        <v>0</v>
      </c>
      <c r="K37" s="26">
        <f>(K34*S34+K35*S35+K36*S36)/S37</f>
        <v>0</v>
      </c>
      <c r="L37" s="25">
        <f t="shared" si="510"/>
        <v>0</v>
      </c>
      <c r="M37" s="26">
        <f>(M34*S34+M35*S35+M36*S36)/S37</f>
        <v>98.207885304659499</v>
      </c>
      <c r="N37" s="7">
        <f>(N34*S34+N35*S35+N36*S36)/S37</f>
        <v>98.207885304659499</v>
      </c>
      <c r="O37" s="7">
        <f>(O34*S34+O35*S35+O36*S36)/S37</f>
        <v>10.523546435148646</v>
      </c>
      <c r="P37" s="7">
        <f>(P34*S34+P35*S35+P36*S36)/S37</f>
        <v>10.398532172725721</v>
      </c>
      <c r="Q37" s="30">
        <f>SUM(Q34:Q36)</f>
        <v>2232</v>
      </c>
      <c r="R37" s="102">
        <f>SUM(R34:R36)</f>
        <v>4874</v>
      </c>
      <c r="S37" s="25">
        <f>SUM(S34:S36)</f>
        <v>63</v>
      </c>
      <c r="V37" s="32" t="s">
        <v>39</v>
      </c>
      <c r="W37" s="29">
        <f>SUM(W34:W36)</f>
        <v>2232</v>
      </c>
      <c r="X37" s="29">
        <f t="shared" ref="X37:AF37" si="511">SUM(X34:X36)</f>
        <v>566.20000000000005</v>
      </c>
      <c r="Y37" s="29">
        <f>SUM(Y34:Y36)</f>
        <v>1665.8000000000002</v>
      </c>
      <c r="Z37" s="29">
        <f t="shared" si="511"/>
        <v>0</v>
      </c>
      <c r="AA37" s="30">
        <f>(AA34*AM34+AA35*AM35+AA36*AM36)/AM37</f>
        <v>0</v>
      </c>
      <c r="AB37" s="29">
        <f t="shared" si="511"/>
        <v>0</v>
      </c>
      <c r="AC37" s="30">
        <f>(AC34*AM34+AC35*AM35+AC36*AM36)/AM37</f>
        <v>0</v>
      </c>
      <c r="AD37" s="30">
        <f>SUM(AD34:AD36)</f>
        <v>0</v>
      </c>
      <c r="AE37" s="30">
        <f>(AE34*AM34+AE35*AM35+AE36*AM36)/AM37</f>
        <v>0</v>
      </c>
      <c r="AF37" s="29">
        <f t="shared" si="511"/>
        <v>0</v>
      </c>
      <c r="AG37" s="26">
        <f>(AG34*AM34+AG35*AM35+AG36*AM36)/AM37</f>
        <v>100</v>
      </c>
      <c r="AH37" s="30">
        <f>(AH34*AM34+AH35*AM35+AH36*AM36)/AM37</f>
        <v>100</v>
      </c>
      <c r="AI37" s="30">
        <f>(AI34*AM34+AI35*AM35+AI36*AM36)/AM37</f>
        <v>0</v>
      </c>
      <c r="AJ37" s="7">
        <f>(AJ34*AM34+AJ35*AM35+AJ36*AM36)/AM37</f>
        <v>23.404164533196791</v>
      </c>
      <c r="AK37" s="30">
        <f>SUM(AK34:AK36)</f>
        <v>2232</v>
      </c>
      <c r="AL37" s="89">
        <f>SUM(AL34:AL36)</f>
        <v>10970</v>
      </c>
      <c r="AM37" s="29">
        <f>SUM(AM34:AM36)</f>
        <v>63</v>
      </c>
      <c r="AP37" s="32" t="s">
        <v>39</v>
      </c>
      <c r="AQ37" s="25">
        <f>SUM(AQ34:AQ36)</f>
        <v>2160</v>
      </c>
      <c r="AR37" s="25">
        <f t="shared" ref="AR37:AZ37" si="512">SUM(AR34:AR36)</f>
        <v>846.2</v>
      </c>
      <c r="AS37" s="25">
        <f>SUM(AS34:AS36)</f>
        <v>1313.8</v>
      </c>
      <c r="AT37" s="25">
        <f t="shared" si="512"/>
        <v>0</v>
      </c>
      <c r="AU37" s="26">
        <f>(AU34*BG34+AU35*BG35+AU36*BG36)/BG37</f>
        <v>0</v>
      </c>
      <c r="AV37" s="25">
        <f t="shared" si="512"/>
        <v>0</v>
      </c>
      <c r="AW37" s="26">
        <f>(AW35*BG35+AW36*BG36)/BG37</f>
        <v>0</v>
      </c>
      <c r="AX37" s="26">
        <f>SUM(AX34:AX36)</f>
        <v>0</v>
      </c>
      <c r="AY37" s="30">
        <f>(AY34*BG34+AY35*BG35+AY36*BG36)/BG37</f>
        <v>0</v>
      </c>
      <c r="AZ37" s="25">
        <f t="shared" si="512"/>
        <v>0</v>
      </c>
      <c r="BA37" s="26">
        <f>(BA34*BG34+BA35*BG35+BA36*BG36)/BG37</f>
        <v>100</v>
      </c>
      <c r="BB37" s="7">
        <f>(BB34*BG34+BB35*BG35+BB36*BG36)/BG37</f>
        <v>100</v>
      </c>
      <c r="BC37" s="7">
        <f>(BC34*BG34+BC35*BG35+BC36*BG36)/BG37</f>
        <v>0</v>
      </c>
      <c r="BD37" s="7">
        <f>(BD34*BG34+BD35*BG35+BD36*BG36)/BG37</f>
        <v>27.793209876543209</v>
      </c>
      <c r="BE37" s="30">
        <f>SUM(BE34:BE36)</f>
        <v>2160</v>
      </c>
      <c r="BF37" s="33">
        <f>SUM(BF34:BF36)</f>
        <v>12607</v>
      </c>
      <c r="BG37" s="29">
        <f>SUM(BG34:BG36)</f>
        <v>63</v>
      </c>
      <c r="BJ37" s="32" t="s">
        <v>39</v>
      </c>
      <c r="BK37" s="25">
        <f>SUM(BK34:BK36)</f>
        <v>2232</v>
      </c>
      <c r="BL37" s="25">
        <f t="shared" ref="BL37:BT37" si="513">SUM(BL34:BL36)</f>
        <v>734.2</v>
      </c>
      <c r="BM37" s="25">
        <f>SUM(BM34:BM36)</f>
        <v>1497.8</v>
      </c>
      <c r="BN37" s="25">
        <f t="shared" si="513"/>
        <v>0</v>
      </c>
      <c r="BO37" s="26">
        <f>(BO34*CA34+BO35*CA35+BO36*CA36)/CA37</f>
        <v>0</v>
      </c>
      <c r="BP37" s="25">
        <f t="shared" si="513"/>
        <v>0</v>
      </c>
      <c r="BQ37" s="26">
        <f>(BQ34*CA34+BQ35*CA35+BQ36*CA36)/CA37</f>
        <v>0</v>
      </c>
      <c r="BR37" s="26">
        <f>SUM(BR34:BR36)</f>
        <v>0</v>
      </c>
      <c r="BS37" s="30">
        <f>(BS34*CA34+BS35*CA35+BS36*CA36)/CA37</f>
        <v>0</v>
      </c>
      <c r="BT37" s="25">
        <f t="shared" si="513"/>
        <v>0</v>
      </c>
      <c r="BU37" s="26">
        <f>(BU34*CA34+BU35*CA35+BU36*CA36)/CA37</f>
        <v>100</v>
      </c>
      <c r="BV37" s="7">
        <f>(BV34*CA34+BV35*CA35+BV36*CA36)/CA37</f>
        <v>100</v>
      </c>
      <c r="BW37" s="7">
        <f>(BW34*CA34+BW35*CA35+BW36*CA36)/CA37</f>
        <v>0</v>
      </c>
      <c r="BX37" s="7">
        <f>(BX34*CA34+BX35*CA35+BX36*CA36)/CA37</f>
        <v>27.952722307561018</v>
      </c>
      <c r="BY37" s="30">
        <f>SUM(BY34:BY36)</f>
        <v>2232</v>
      </c>
      <c r="BZ37" s="89">
        <f>SUM(BZ34:BZ36)</f>
        <v>13102</v>
      </c>
      <c r="CA37" s="29">
        <f>SUM(CA34:CA36)</f>
        <v>63</v>
      </c>
      <c r="CD37" s="32" t="s">
        <v>39</v>
      </c>
      <c r="CE37" s="25">
        <f>SUM(CE34:CE36)</f>
        <v>2139</v>
      </c>
      <c r="CF37" s="25">
        <f t="shared" ref="CF37:CN37" si="514">SUM(CF34:CF36)</f>
        <v>208.60000000000002</v>
      </c>
      <c r="CG37" s="25">
        <f>SUM(CG34:CG36)</f>
        <v>1930.4</v>
      </c>
      <c r="CH37" s="25">
        <f t="shared" si="514"/>
        <v>21</v>
      </c>
      <c r="CI37" s="26">
        <f>(CI34*CU34+CI35*CU35+CI36*CU36)/CU37</f>
        <v>0.97222222222222221</v>
      </c>
      <c r="CJ37" s="25">
        <f t="shared" si="514"/>
        <v>0</v>
      </c>
      <c r="CK37" s="26">
        <f>(CK35*CU35+CK36*CU36)/CU37</f>
        <v>0</v>
      </c>
      <c r="CL37" s="26">
        <f>SUM(CL34:CL36)</f>
        <v>0</v>
      </c>
      <c r="CM37" s="26">
        <f>(CM34*CU34+CM35*CU35+CM36*CU36)/CU37</f>
        <v>0</v>
      </c>
      <c r="CN37" s="25">
        <f t="shared" si="514"/>
        <v>0</v>
      </c>
      <c r="CO37" s="26">
        <f>(CO34*CU34+CO35*CU35+CO36*CU36)/CU37</f>
        <v>99.027777777777771</v>
      </c>
      <c r="CP37" s="7">
        <f>(CP34*CU34+CP35*CU35+CP36*CU36)/CU37</f>
        <v>99.027777777777771</v>
      </c>
      <c r="CQ37" s="7">
        <f>(CQ34*CU34+CQ35*CU35+CQ36*CU36)/CU37</f>
        <v>7.7777777777777777</v>
      </c>
      <c r="CR37" s="7">
        <f>(CR34*CU34+CR35*CU35+CR36*CU36)/CU37</f>
        <v>8.0930335097001755</v>
      </c>
      <c r="CS37" s="30">
        <f>SUM(CS34:CS36)</f>
        <v>2160</v>
      </c>
      <c r="CT37" s="89">
        <f>SUM(CT34:CT36)</f>
        <v>3671</v>
      </c>
      <c r="CU37" s="29">
        <f>SUM(CU34:CU36)</f>
        <v>63</v>
      </c>
      <c r="CX37" s="32" t="s">
        <v>39</v>
      </c>
      <c r="CY37" s="25">
        <f>SUM(CY34:CY36)</f>
        <v>2201</v>
      </c>
      <c r="CZ37" s="25">
        <f t="shared" ref="CZ37:DH37" si="515">SUM(CZ34:CZ36)</f>
        <v>322.59999999999997</v>
      </c>
      <c r="DA37" s="25">
        <f>SUM(DA34:DA36)</f>
        <v>1878.3999999999999</v>
      </c>
      <c r="DB37" s="25">
        <f t="shared" si="515"/>
        <v>31</v>
      </c>
      <c r="DC37" s="26">
        <f>(DC34*DO34+DC35*DO35+DC36*DO36)/DO37</f>
        <v>1.3888888888888886</v>
      </c>
      <c r="DD37" s="25">
        <f t="shared" si="515"/>
        <v>0</v>
      </c>
      <c r="DE37" s="26">
        <f>(DE35*DO35+DE36*DO36)/DO37</f>
        <v>0</v>
      </c>
      <c r="DF37" s="26">
        <f>SUM(DF34:DF36)</f>
        <v>0</v>
      </c>
      <c r="DG37" s="30">
        <f>(DG34*DO34+DG35*DO35+DG36*DO36)/DO37</f>
        <v>0</v>
      </c>
      <c r="DH37" s="25">
        <f t="shared" si="515"/>
        <v>0</v>
      </c>
      <c r="DI37" s="26">
        <f>(DI34*DO34+DI35*DO35+DI36*DO36)/DO37</f>
        <v>98.611111111111114</v>
      </c>
      <c r="DJ37" s="7">
        <f>(DJ34*DO34+DJ35*DO35+DJ36*DO36)/DO37</f>
        <v>98.611111111111114</v>
      </c>
      <c r="DK37" s="7">
        <f>(DK34*DO34+DK35*DO35+DK36*DO36)/DO37</f>
        <v>8.2570623844959972</v>
      </c>
      <c r="DL37" s="7">
        <f>(DL34*DO34+DL35*DO35+DL36*DO36)/DO37</f>
        <v>12.201314217443251</v>
      </c>
      <c r="DM37" s="30">
        <f>SUM(DM34:DM36)</f>
        <v>2232</v>
      </c>
      <c r="DN37" s="88">
        <f>SUM(DN34:DN36)</f>
        <v>5719</v>
      </c>
      <c r="DO37" s="29">
        <f>SUM(DO34:DO36)</f>
        <v>63</v>
      </c>
      <c r="DR37" s="32" t="s">
        <v>39</v>
      </c>
      <c r="DS37" s="25">
        <f>SUM(DS34:DS36)</f>
        <v>1980</v>
      </c>
      <c r="DT37" s="25">
        <f t="shared" ref="DT37:EB37" si="516">SUM(DT34:DT36)</f>
        <v>384.6</v>
      </c>
      <c r="DU37" s="25">
        <f>SUM(DU34:DU36)</f>
        <v>1595.4</v>
      </c>
      <c r="DV37" s="25">
        <f t="shared" si="516"/>
        <v>252</v>
      </c>
      <c r="DW37" s="26">
        <f>(DW34*EI34+DW35*EI35+DW36*EI36)/EI37</f>
        <v>11.29032258064516</v>
      </c>
      <c r="DX37" s="25">
        <f t="shared" si="516"/>
        <v>0</v>
      </c>
      <c r="DY37" s="26">
        <f>(DY35*EI35+DY36*EI36)/EI37</f>
        <v>0</v>
      </c>
      <c r="DZ37" s="26">
        <f>SUM(DZ34:DZ36)</f>
        <v>0</v>
      </c>
      <c r="EA37" s="30">
        <f>(EA34*EI34+EA35*EI35+EA36*EI36)/EI37</f>
        <v>0</v>
      </c>
      <c r="EB37" s="25">
        <f t="shared" si="516"/>
        <v>0</v>
      </c>
      <c r="EC37" s="26">
        <f>(EC34*EI34+EC35*EI35+EC36*EI36)/EI37</f>
        <v>88.709677419354833</v>
      </c>
      <c r="ED37" s="7">
        <f>(ED34*EI34+ED35*EI35+ED36*EI36)/EI37</f>
        <v>88.709677419354833</v>
      </c>
      <c r="EE37" s="7">
        <f>(EE34*EI34+EE35*EI35+EE36*EI36)/EI37</f>
        <v>26.395292863309241</v>
      </c>
      <c r="EF37" s="7">
        <f>(EF34*EI34+EF35*EI35+EF36*EI36)/EI37</f>
        <v>14.669738863287252</v>
      </c>
      <c r="EG37" s="30">
        <f>SUM(EG34:EG36)</f>
        <v>2232</v>
      </c>
      <c r="EH37" s="89">
        <f>SUM(EH34:EH36)</f>
        <v>6876</v>
      </c>
      <c r="EI37" s="29">
        <f>SUM(EI34:EI36)</f>
        <v>63</v>
      </c>
      <c r="EL37" s="24" t="s">
        <v>39</v>
      </c>
      <c r="EM37" s="25">
        <f>SUM(EM34:EM36)</f>
        <v>1344</v>
      </c>
      <c r="EN37" s="25">
        <f t="shared" ref="EN37:EV37" si="517">SUM(EN34:EN36)</f>
        <v>219.5</v>
      </c>
      <c r="EO37" s="25">
        <f>SUM(EO34:EO36)</f>
        <v>1124.5</v>
      </c>
      <c r="EP37" s="25">
        <f t="shared" si="517"/>
        <v>672</v>
      </c>
      <c r="EQ37" s="26">
        <f>(EQ34*FC34+EQ35*FC35+EQ36*FC36)/FC37</f>
        <v>33.333333333333336</v>
      </c>
      <c r="ER37" s="25">
        <f t="shared" si="517"/>
        <v>0</v>
      </c>
      <c r="ES37" s="26">
        <f>(ES35*FC35+ES36*FC36)/FC37</f>
        <v>0</v>
      </c>
      <c r="ET37" s="26">
        <f>SUM(ET34:ET36)</f>
        <v>0</v>
      </c>
      <c r="EU37" s="30">
        <f>(EU34*FC34+EU35*FC35+EU36*FC36)/FC37</f>
        <v>0</v>
      </c>
      <c r="EV37" s="25">
        <f t="shared" si="517"/>
        <v>0</v>
      </c>
      <c r="EW37" s="26">
        <f>(EW34*FC34+EW35*FC35+EW36*FC36)/FC37</f>
        <v>60.215053763440849</v>
      </c>
      <c r="EX37" s="7">
        <f>(EX34*FC34+EX35*FC35+EX36*FC36)/FC37</f>
        <v>66.666666666666671</v>
      </c>
      <c r="EY37" s="7">
        <f>(EY34*FC34+EY35*FC35+EY36*FC36)/FC37</f>
        <v>33.333333333333336</v>
      </c>
      <c r="EZ37" s="7">
        <f>(EZ34*FC34+EZ35*FC35+EZ36*FC36)/FC37</f>
        <v>9.1482426303854893</v>
      </c>
      <c r="FA37" s="30">
        <f>SUM(FA34:FA36)</f>
        <v>2016</v>
      </c>
      <c r="FB37" s="33">
        <f>SUM(FB34:FB36)</f>
        <v>3873</v>
      </c>
      <c r="FC37" s="29">
        <f>SUM(FC34:FC36)</f>
        <v>63</v>
      </c>
      <c r="FF37" s="24" t="s">
        <v>39</v>
      </c>
      <c r="FG37" s="25">
        <f>SUM(FG34:FG36)</f>
        <v>1491.7</v>
      </c>
      <c r="FH37" s="25">
        <f t="shared" ref="FH37:FP37" si="518">SUM(FH34:FH36)</f>
        <v>526.30000000000007</v>
      </c>
      <c r="FI37" s="25">
        <f>SUM(FI34:FI36)</f>
        <v>965.4</v>
      </c>
      <c r="FJ37" s="25">
        <f t="shared" si="518"/>
        <v>740.3</v>
      </c>
      <c r="FK37" s="26">
        <f>(FK34*FW34+FK35*FW35+FK36*FW36)/FW37</f>
        <v>33.167562724014338</v>
      </c>
      <c r="FL37" s="25">
        <f t="shared" si="518"/>
        <v>0</v>
      </c>
      <c r="FM37" s="26">
        <f>(FM35*FW35+FM36*FW36)/FW37</f>
        <v>0</v>
      </c>
      <c r="FN37" s="26">
        <f>SUM(FN34:FN36)</f>
        <v>0</v>
      </c>
      <c r="FO37" s="30">
        <f>(FO34*FW34+FO35*FW35+FO36*FW36)/FW37</f>
        <v>0</v>
      </c>
      <c r="FP37" s="25">
        <f t="shared" si="518"/>
        <v>0</v>
      </c>
      <c r="FQ37" s="26">
        <f>(FQ34*FW34+FQ35*FW35+FQ36*FW36)/FW37</f>
        <v>66.832437275985654</v>
      </c>
      <c r="FR37" s="7">
        <f>(FR34*FW34+FR35*FW35+FR36*FW36)/FW37</f>
        <v>66.832437275985654</v>
      </c>
      <c r="FS37" s="7">
        <f>(FS34*FW34+FS35*FW35+FS36*FW36)/FW37</f>
        <v>33.212202781516368</v>
      </c>
      <c r="FT37" s="7">
        <f>(FT34*FW34+FT35*FW35+FT36*FW36)/FW37</f>
        <v>20.317033623485237</v>
      </c>
      <c r="FU37" s="30">
        <f>SUM(FU34:FU36)</f>
        <v>2232</v>
      </c>
      <c r="FV37" s="33">
        <f>SUM(FV34:FV36)</f>
        <v>9523</v>
      </c>
      <c r="FW37" s="29">
        <f>SUM(FW34:FW36)</f>
        <v>63</v>
      </c>
      <c r="FZ37" s="32" t="s">
        <v>39</v>
      </c>
      <c r="GA37" s="25">
        <f>SUM(GA34:GA36)</f>
        <v>1320</v>
      </c>
      <c r="GB37" s="25">
        <f t="shared" ref="GB37:GJ37" si="519">SUM(GB34:GB36)</f>
        <v>598.29999999999995</v>
      </c>
      <c r="GC37" s="25">
        <f>SUM(GC34:GC36)</f>
        <v>721.7</v>
      </c>
      <c r="GD37" s="25">
        <f t="shared" si="519"/>
        <v>840</v>
      </c>
      <c r="GE37" s="78">
        <f>(GE34*GQ34+GE35*GQ35+GE36*GQ36)/GQ37</f>
        <v>0.3888888888888889</v>
      </c>
      <c r="GF37" s="25">
        <f t="shared" si="519"/>
        <v>0</v>
      </c>
      <c r="GG37" s="26">
        <f>(GG35*GQ35+GG36*GQ36)/GQ37</f>
        <v>0</v>
      </c>
      <c r="GH37" s="26">
        <f>SUM(GH34:GH36)</f>
        <v>0</v>
      </c>
      <c r="GI37" s="26">
        <f>(GI34*GQ34+GI35*GQ35+GI36*GQ36)/GQ37</f>
        <v>0</v>
      </c>
      <c r="GJ37" s="25">
        <f t="shared" si="519"/>
        <v>0</v>
      </c>
      <c r="GK37" s="26">
        <f>(GK34*GQ34+GK35*GQ35+GK36*GQ36)/GQ37</f>
        <v>59.13978494623656</v>
      </c>
      <c r="GL37" s="7">
        <f>(GL34*GQ34+GL35*GQ35+GL36*GQ36)/GQ37</f>
        <v>61.111111111111114</v>
      </c>
      <c r="GM37" s="7">
        <f>(GM34*GQ34+GM35*GQ35+GM36*GQ36)/GQ37</f>
        <v>46.10064900521332</v>
      </c>
      <c r="GN37" s="193">
        <f>(GN34*GQ34+GN35*GQ35+GN36*GQ36)/GQ37</f>
        <v>24.142416225749557</v>
      </c>
      <c r="GO37" s="30">
        <f>SUM(GO34:GO36)</f>
        <v>2160</v>
      </c>
      <c r="GP37" s="33">
        <f>SUM(GP34:GP36)</f>
        <v>10951</v>
      </c>
      <c r="GQ37" s="29">
        <f>SUM(GQ34:GQ36)</f>
        <v>63</v>
      </c>
      <c r="GT37" s="32" t="s">
        <v>39</v>
      </c>
      <c r="GU37" s="25">
        <f>SUM(GU34:GU36)</f>
        <v>744</v>
      </c>
      <c r="GV37" s="25">
        <f t="shared" ref="GV37:HD37" si="520">SUM(GV34:GV36)</f>
        <v>168.8</v>
      </c>
      <c r="GW37" s="25">
        <f>SUM(GW34:GW36)</f>
        <v>575.20000000000005</v>
      </c>
      <c r="GX37" s="25">
        <f t="shared" si="520"/>
        <v>1488</v>
      </c>
      <c r="GY37" s="26">
        <f>(GY34*HK34+GY35*HK35+GY36*HK36)/HK37</f>
        <v>66.666666666666671</v>
      </c>
      <c r="GZ37" s="25">
        <f t="shared" si="520"/>
        <v>0</v>
      </c>
      <c r="HA37" s="26">
        <f>(HA35*HK35+HA36*HK36)/HK37</f>
        <v>0</v>
      </c>
      <c r="HB37" s="26">
        <f>SUM(HB34:HB36)</f>
        <v>0</v>
      </c>
      <c r="HC37" s="26">
        <f>(HC35*HK35+HC36*HK36)/HK37</f>
        <v>0</v>
      </c>
      <c r="HD37" s="25">
        <f t="shared" si="520"/>
        <v>0</v>
      </c>
      <c r="HE37" s="26">
        <f>(HE34*HK34+HE35*HK35+HE36*HK36)/HK37</f>
        <v>33.333333333333336</v>
      </c>
      <c r="HF37" s="7">
        <f>(HF34*HK34+HF35*HK35+HF36*HK36)/HK37</f>
        <v>33.333333333333336</v>
      </c>
      <c r="HG37" s="7">
        <f>(HG34*HK34+HG35*HK35+HG36*HK36)/HK37</f>
        <v>66.666666666666671</v>
      </c>
      <c r="HH37" s="193">
        <f>(HH34*HK34+HH35*HK35+HH36*HK36)/HK37</f>
        <v>6.8676395289298506</v>
      </c>
      <c r="HI37" s="30">
        <f>SUM(HI34:HI36)</f>
        <v>2232</v>
      </c>
      <c r="HJ37" s="33">
        <f>SUM(HJ34:HJ36)</f>
        <v>3219</v>
      </c>
      <c r="HK37" s="29">
        <f>SUM(HK34:HK36)</f>
        <v>63</v>
      </c>
      <c r="HN37" s="87" t="s">
        <v>39</v>
      </c>
      <c r="HO37" s="29">
        <f>SUM(HO34:HO36)</f>
        <v>720</v>
      </c>
      <c r="HP37" s="29">
        <f t="shared" ref="HP37:HR37" si="521">SUM(HP34:HP36)</f>
        <v>197.09999999999991</v>
      </c>
      <c r="HQ37" s="29">
        <f t="shared" si="521"/>
        <v>522.90000000000009</v>
      </c>
      <c r="HR37" s="29">
        <f t="shared" si="521"/>
        <v>1440</v>
      </c>
      <c r="HS37" s="26">
        <f>(HS34*IE34+HS35*IE35+HS36*IE36)/IE37</f>
        <v>66.666666666666671</v>
      </c>
      <c r="HT37" s="29">
        <f t="shared" ref="HT37:HV37" si="522">SUM(HT34:HT36)</f>
        <v>0</v>
      </c>
      <c r="HU37" s="26">
        <f>(HU34*IE34+HU35*IE35+HU36*IE36)/IE37</f>
        <v>0</v>
      </c>
      <c r="HV37" s="29">
        <f t="shared" si="522"/>
        <v>0</v>
      </c>
      <c r="HW37" s="26">
        <f>(HW34*IE34+HW35*IE35+HW36*IE36)/IE37</f>
        <v>0</v>
      </c>
      <c r="HX37" s="29">
        <f t="shared" ref="HX37" si="523">SUM(HX34:HX36)</f>
        <v>0</v>
      </c>
      <c r="HY37" s="30">
        <f>(HY34*IE34+HY35*IE35+HY36*IE36)/IE37</f>
        <v>33.333333333333336</v>
      </c>
      <c r="HZ37" s="193">
        <f>(HZ34*IE34+HZ35*IE35+HZ36*IE36)/IE37</f>
        <v>33.333333333333336</v>
      </c>
      <c r="IA37" s="193">
        <f>(IA34*IE34+IA35*IE35+IA36*IE36)/IE37</f>
        <v>66.666666666666671</v>
      </c>
      <c r="IB37" s="193">
        <f>(IB34*IE34+IB35*IE35+IB36*IE36)/IE37</f>
        <v>7.8461199294532626</v>
      </c>
      <c r="IC37" s="30">
        <f>SUM(IC34:IC36)</f>
        <v>2160</v>
      </c>
      <c r="ID37" s="31">
        <f>SUM(ID34:ID36)</f>
        <v>3559</v>
      </c>
      <c r="IE37" s="29">
        <f>SUM(IE34:IE36)</f>
        <v>63</v>
      </c>
    </row>
    <row r="38" spans="1:240" ht="15" x14ac:dyDescent="0.25">
      <c r="A38" s="16" t="s">
        <v>42</v>
      </c>
      <c r="B38" s="37" t="s">
        <v>47</v>
      </c>
      <c r="C38" s="8">
        <v>0</v>
      </c>
      <c r="D38" s="8">
        <v>0</v>
      </c>
      <c r="E38" s="8">
        <v>0</v>
      </c>
      <c r="F38" s="8">
        <v>744</v>
      </c>
      <c r="G38" s="6">
        <f t="shared" si="339"/>
        <v>100</v>
      </c>
      <c r="H38" s="8">
        <v>0</v>
      </c>
      <c r="I38" s="6">
        <f t="shared" si="340"/>
        <v>0</v>
      </c>
      <c r="J38" s="6">
        <v>0</v>
      </c>
      <c r="K38" s="6">
        <f t="shared" ref="K38:K51" si="524">(J38/$B$4)*100</f>
        <v>0</v>
      </c>
      <c r="L38" s="8">
        <v>0</v>
      </c>
      <c r="M38" s="6">
        <f>(C38/$B$4)*100</f>
        <v>0</v>
      </c>
      <c r="N38" s="8">
        <f t="shared" ref="N38:N78" si="525">((C38-L38)/$B$4)*100</f>
        <v>0</v>
      </c>
      <c r="O38" s="8">
        <f t="shared" ref="O38:O63" si="526">IF((AND(D38=0,F38=0)),0,(F38+L38)/(D38+F38)*100)</f>
        <v>100</v>
      </c>
      <c r="P38" s="6">
        <f>(R38/($B$4*S38))*100</f>
        <v>0</v>
      </c>
      <c r="Q38" s="6">
        <f>SUM(D38:F38,H38,J38)</f>
        <v>744</v>
      </c>
      <c r="R38" s="8">
        <v>0</v>
      </c>
      <c r="S38" s="8">
        <v>21</v>
      </c>
      <c r="U38" s="16" t="s">
        <v>42</v>
      </c>
      <c r="V38" s="37" t="s">
        <v>47</v>
      </c>
      <c r="W38" s="8">
        <v>0</v>
      </c>
      <c r="X38" s="8">
        <v>0</v>
      </c>
      <c r="Y38" s="8">
        <v>0</v>
      </c>
      <c r="Z38" s="8">
        <v>744</v>
      </c>
      <c r="AA38" s="8">
        <f t="shared" si="117"/>
        <v>100</v>
      </c>
      <c r="AB38" s="8">
        <v>0</v>
      </c>
      <c r="AC38" s="8">
        <f t="shared" si="118"/>
        <v>0</v>
      </c>
      <c r="AD38" s="8">
        <v>0</v>
      </c>
      <c r="AE38" s="6">
        <f t="shared" si="118"/>
        <v>0</v>
      </c>
      <c r="AF38" s="8">
        <v>0</v>
      </c>
      <c r="AG38" s="6">
        <f>(W38/$V$4)*100</f>
        <v>0</v>
      </c>
      <c r="AH38" s="8">
        <f t="shared" si="119"/>
        <v>0</v>
      </c>
      <c r="AI38" s="8">
        <f t="shared" si="120"/>
        <v>100</v>
      </c>
      <c r="AJ38" s="6">
        <f>(AL38/($V$4*AM38))*100</f>
        <v>0</v>
      </c>
      <c r="AK38" s="6">
        <f>SUM(X38:Z38,AB38,AD38)</f>
        <v>744</v>
      </c>
      <c r="AL38" s="8">
        <v>0</v>
      </c>
      <c r="AM38" s="8">
        <v>21</v>
      </c>
      <c r="AO38" s="16" t="s">
        <v>42</v>
      </c>
      <c r="AP38" s="37" t="s">
        <v>47</v>
      </c>
      <c r="AQ38" s="8">
        <v>0</v>
      </c>
      <c r="AR38" s="8">
        <v>0</v>
      </c>
      <c r="AS38" s="8">
        <v>0</v>
      </c>
      <c r="AT38" s="8">
        <v>720</v>
      </c>
      <c r="AU38" s="8">
        <f t="shared" si="121"/>
        <v>100</v>
      </c>
      <c r="AV38" s="8">
        <v>0</v>
      </c>
      <c r="AW38" s="8">
        <f t="shared" si="122"/>
        <v>0</v>
      </c>
      <c r="AX38" s="8">
        <v>0</v>
      </c>
      <c r="AY38" s="6">
        <f>(AX38/$AP$4)*100</f>
        <v>0</v>
      </c>
      <c r="AZ38" s="8">
        <v>0</v>
      </c>
      <c r="BA38" s="6">
        <f>(AQ38/$AP$4)*100</f>
        <v>0</v>
      </c>
      <c r="BB38" s="6">
        <f t="shared" si="456"/>
        <v>0</v>
      </c>
      <c r="BC38" s="15">
        <f t="shared" si="457"/>
        <v>100</v>
      </c>
      <c r="BD38" s="6">
        <f t="shared" ref="BD38:BD39" si="527">(BF38/($AP$4*BG38))*100</f>
        <v>0</v>
      </c>
      <c r="BE38" s="6">
        <f>SUM(AR38:AT38,AV38,AX38)</f>
        <v>720</v>
      </c>
      <c r="BF38" s="8">
        <v>0</v>
      </c>
      <c r="BG38" s="8">
        <v>21</v>
      </c>
      <c r="BI38" s="16" t="s">
        <v>42</v>
      </c>
      <c r="BJ38" s="37" t="s">
        <v>47</v>
      </c>
      <c r="BK38" s="8">
        <v>0</v>
      </c>
      <c r="BL38" s="8">
        <v>0</v>
      </c>
      <c r="BM38" s="8">
        <v>0</v>
      </c>
      <c r="BN38" s="8">
        <v>744</v>
      </c>
      <c r="BO38" s="6">
        <f t="shared" si="126"/>
        <v>100</v>
      </c>
      <c r="BP38" s="8">
        <v>0</v>
      </c>
      <c r="BQ38" s="8">
        <f t="shared" si="127"/>
        <v>0</v>
      </c>
      <c r="BR38" s="8">
        <v>0</v>
      </c>
      <c r="BS38" s="6">
        <f>(BR38/$BJ$4)*100</f>
        <v>0</v>
      </c>
      <c r="BT38" s="8">
        <v>0</v>
      </c>
      <c r="BU38" s="6">
        <f>(BK38/$BJ$4)*100</f>
        <v>0</v>
      </c>
      <c r="BV38" s="6">
        <f t="shared" si="460"/>
        <v>0</v>
      </c>
      <c r="BW38" s="6">
        <f t="shared" si="461"/>
        <v>100</v>
      </c>
      <c r="BX38" s="6">
        <f t="shared" ref="BX38:BX39" si="528">(BZ38/($BJ$4*CA38))*100</f>
        <v>0</v>
      </c>
      <c r="BY38" s="6">
        <f>SUM(BL38:BN38,BP38,BR38)</f>
        <v>744</v>
      </c>
      <c r="BZ38" s="8">
        <v>0</v>
      </c>
      <c r="CA38" s="8">
        <v>21</v>
      </c>
      <c r="CC38" s="16" t="s">
        <v>42</v>
      </c>
      <c r="CD38" s="37" t="s">
        <v>47</v>
      </c>
      <c r="CE38" s="8">
        <v>0</v>
      </c>
      <c r="CF38" s="8">
        <v>0</v>
      </c>
      <c r="CG38" s="8">
        <v>0</v>
      </c>
      <c r="CH38" s="8">
        <v>720</v>
      </c>
      <c r="CI38" s="6">
        <f t="shared" si="413"/>
        <v>100</v>
      </c>
      <c r="CJ38" s="8">
        <v>0</v>
      </c>
      <c r="CK38" s="8">
        <f t="shared" si="414"/>
        <v>0</v>
      </c>
      <c r="CL38" s="8">
        <v>0</v>
      </c>
      <c r="CM38" s="6">
        <f>(CL38/$CD$4)*100</f>
        <v>0</v>
      </c>
      <c r="CN38" s="8">
        <v>0</v>
      </c>
      <c r="CO38" s="6">
        <f>(CE38/$CD$4)*100</f>
        <v>0</v>
      </c>
      <c r="CP38" s="6">
        <f t="shared" si="132"/>
        <v>0</v>
      </c>
      <c r="CQ38" s="18">
        <f t="shared" si="415"/>
        <v>100</v>
      </c>
      <c r="CR38" s="6">
        <f t="shared" ref="CR38:CR39" si="529">(CT38/($CD$4*CU38))*100</f>
        <v>0</v>
      </c>
      <c r="CS38" s="6">
        <f>SUM(CF38:CH38,CJ38,CL38)</f>
        <v>720</v>
      </c>
      <c r="CT38" s="8">
        <v>0</v>
      </c>
      <c r="CU38" s="8">
        <v>21</v>
      </c>
      <c r="CW38" s="16" t="s">
        <v>42</v>
      </c>
      <c r="CX38" s="37" t="s">
        <v>47</v>
      </c>
      <c r="CY38" s="8">
        <v>24</v>
      </c>
      <c r="CZ38" s="8">
        <v>0</v>
      </c>
      <c r="DA38" s="8">
        <v>24</v>
      </c>
      <c r="DB38" s="8">
        <v>720</v>
      </c>
      <c r="DC38" s="6">
        <f t="shared" si="416"/>
        <v>96.774193548387103</v>
      </c>
      <c r="DD38" s="8">
        <v>0</v>
      </c>
      <c r="DE38" s="6">
        <f t="shared" si="417"/>
        <v>0</v>
      </c>
      <c r="DF38" s="6">
        <v>0</v>
      </c>
      <c r="DG38" s="6">
        <f>(DF38/$CX$4)*100</f>
        <v>0</v>
      </c>
      <c r="DH38" s="8">
        <v>0</v>
      </c>
      <c r="DI38" s="6">
        <f>(CY38/$V$4)*100</f>
        <v>3.225806451612903</v>
      </c>
      <c r="DJ38" s="6">
        <f t="shared" si="464"/>
        <v>3.225806451612903</v>
      </c>
      <c r="DK38" s="18">
        <f t="shared" si="465"/>
        <v>100</v>
      </c>
      <c r="DL38" s="6">
        <f>(DN38/($CX$4*DO38))*100</f>
        <v>0</v>
      </c>
      <c r="DM38" s="6">
        <f>SUM(CZ38:DB38,DD38,DF38)</f>
        <v>744</v>
      </c>
      <c r="DN38" s="8">
        <v>0</v>
      </c>
      <c r="DO38" s="8">
        <v>21</v>
      </c>
      <c r="DQ38" s="16" t="s">
        <v>42</v>
      </c>
      <c r="DR38" s="37" t="s">
        <v>47</v>
      </c>
      <c r="DS38" s="8">
        <v>0</v>
      </c>
      <c r="DT38" s="8">
        <v>0</v>
      </c>
      <c r="DU38" s="8">
        <v>0</v>
      </c>
      <c r="DV38" s="8">
        <v>744</v>
      </c>
      <c r="DW38" s="6">
        <f t="shared" si="420"/>
        <v>100</v>
      </c>
      <c r="DX38" s="8">
        <v>0</v>
      </c>
      <c r="DY38" s="6">
        <f t="shared" si="421"/>
        <v>0</v>
      </c>
      <c r="DZ38" s="6">
        <v>0</v>
      </c>
      <c r="EA38" s="6">
        <f>(DZ38/$DR$4)*100</f>
        <v>0</v>
      </c>
      <c r="EB38" s="8">
        <v>0</v>
      </c>
      <c r="EC38" s="6">
        <f>(DS38/$V$4)*100</f>
        <v>0</v>
      </c>
      <c r="ED38" s="6">
        <f t="shared" si="467"/>
        <v>0</v>
      </c>
      <c r="EE38" s="18">
        <f t="shared" si="468"/>
        <v>100</v>
      </c>
      <c r="EF38" s="6">
        <f>(EH38/($DR$4*EI38))*100</f>
        <v>0</v>
      </c>
      <c r="EG38" s="6">
        <f>SUM(DT38:DV38,DX38,DZ38)</f>
        <v>744</v>
      </c>
      <c r="EH38" s="8">
        <v>0</v>
      </c>
      <c r="EI38" s="8">
        <v>21</v>
      </c>
      <c r="EK38" s="16" t="s">
        <v>42</v>
      </c>
      <c r="EL38" s="37" t="s">
        <v>47</v>
      </c>
      <c r="EM38" s="8">
        <v>0</v>
      </c>
      <c r="EN38" s="8">
        <v>0</v>
      </c>
      <c r="EO38" s="8">
        <v>0</v>
      </c>
      <c r="EP38" s="8">
        <v>672</v>
      </c>
      <c r="EQ38" s="6">
        <f t="shared" si="424"/>
        <v>100</v>
      </c>
      <c r="ER38" s="8">
        <v>0</v>
      </c>
      <c r="ES38" s="6">
        <f t="shared" si="425"/>
        <v>0</v>
      </c>
      <c r="ET38" s="6">
        <v>0</v>
      </c>
      <c r="EU38" s="6">
        <f>(ET38/$EL$4)*100</f>
        <v>0</v>
      </c>
      <c r="EV38" s="8">
        <v>0</v>
      </c>
      <c r="EW38" s="6">
        <f>(EM38/$V$4)*100</f>
        <v>0</v>
      </c>
      <c r="EX38" s="6">
        <f t="shared" si="469"/>
        <v>0</v>
      </c>
      <c r="EY38" s="18">
        <f t="shared" si="470"/>
        <v>100</v>
      </c>
      <c r="EZ38" s="6">
        <f>(FB38/($EL$4*FC38))*100</f>
        <v>0</v>
      </c>
      <c r="FA38" s="6">
        <f>SUM(EN38:EP38,ER38,ET38)</f>
        <v>672</v>
      </c>
      <c r="FB38" s="8">
        <v>0</v>
      </c>
      <c r="FC38" s="8">
        <v>21</v>
      </c>
      <c r="FE38" s="16" t="s">
        <v>42</v>
      </c>
      <c r="FF38" s="37" t="s">
        <v>47</v>
      </c>
      <c r="FG38" s="8">
        <v>0</v>
      </c>
      <c r="FH38" s="8">
        <v>0</v>
      </c>
      <c r="FI38" s="8">
        <v>0</v>
      </c>
      <c r="FJ38" s="8">
        <v>744</v>
      </c>
      <c r="FK38" s="6">
        <f t="shared" si="439"/>
        <v>100</v>
      </c>
      <c r="FL38" s="8">
        <v>0</v>
      </c>
      <c r="FM38" s="6">
        <f t="shared" si="440"/>
        <v>0</v>
      </c>
      <c r="FN38" s="6">
        <v>0</v>
      </c>
      <c r="FO38" s="6">
        <f>(FN38/$FF$4)*100</f>
        <v>0</v>
      </c>
      <c r="FP38" s="8">
        <v>0</v>
      </c>
      <c r="FQ38" s="6">
        <f>(FG38/$V$4)*100</f>
        <v>0</v>
      </c>
      <c r="FR38" s="6">
        <f t="shared" si="473"/>
        <v>0</v>
      </c>
      <c r="FS38" s="18">
        <f t="shared" si="474"/>
        <v>100</v>
      </c>
      <c r="FT38" s="6">
        <f>(FV38/($FF$4*FW38))*100</f>
        <v>0</v>
      </c>
      <c r="FU38" s="6">
        <f>SUM(FH38:FJ38,FL38,FN38)</f>
        <v>744</v>
      </c>
      <c r="FV38" s="8">
        <v>0</v>
      </c>
      <c r="FW38" s="8">
        <v>21</v>
      </c>
      <c r="FY38" s="16" t="s">
        <v>42</v>
      </c>
      <c r="FZ38" s="37" t="s">
        <v>47</v>
      </c>
      <c r="GA38" s="8">
        <v>0</v>
      </c>
      <c r="GB38" s="8">
        <v>0</v>
      </c>
      <c r="GC38" s="8">
        <v>0</v>
      </c>
      <c r="GD38" s="8">
        <v>720</v>
      </c>
      <c r="GE38" s="8">
        <f>(GD38/$FZ$4)</f>
        <v>1</v>
      </c>
      <c r="GF38" s="8">
        <v>0</v>
      </c>
      <c r="GG38" s="8">
        <f t="shared" si="431"/>
        <v>0</v>
      </c>
      <c r="GH38" s="8">
        <v>0</v>
      </c>
      <c r="GI38" s="6">
        <f>(GH38/$FZ$4)*100</f>
        <v>0</v>
      </c>
      <c r="GJ38" s="8">
        <v>0</v>
      </c>
      <c r="GK38" s="6">
        <f>(GA38/$V$4)*100</f>
        <v>0</v>
      </c>
      <c r="GL38" s="8">
        <f t="shared" ref="GL38:GL42" si="530">((GA38-GJ38)/$FZ$4)*100</f>
        <v>0</v>
      </c>
      <c r="GM38" s="6">
        <f t="shared" ref="GM38:GM42" si="531">IF((AND(GB38=0,GD38=0)),0,(GD38+GJ38)/(GB38+GD38)*100)</f>
        <v>100</v>
      </c>
      <c r="GN38" s="6">
        <f>(GP38/($FZ$4*GQ38))*100</f>
        <v>0</v>
      </c>
      <c r="GO38" s="6">
        <f>SUM(GB38:GD38,GF38,GH38)</f>
        <v>720</v>
      </c>
      <c r="GP38" s="8">
        <v>0</v>
      </c>
      <c r="GQ38" s="8">
        <v>21</v>
      </c>
      <c r="GS38" s="16" t="s">
        <v>42</v>
      </c>
      <c r="GT38" s="37" t="s">
        <v>47</v>
      </c>
      <c r="GU38" s="8">
        <v>0</v>
      </c>
      <c r="GV38" s="8">
        <v>0</v>
      </c>
      <c r="GW38" s="8">
        <v>0</v>
      </c>
      <c r="GX38" s="8">
        <v>744</v>
      </c>
      <c r="GY38" s="8">
        <f t="shared" si="338"/>
        <v>100</v>
      </c>
      <c r="GZ38" s="8">
        <v>0</v>
      </c>
      <c r="HA38" s="8">
        <f t="shared" si="338"/>
        <v>0</v>
      </c>
      <c r="HB38" s="8">
        <v>0</v>
      </c>
      <c r="HC38" s="6">
        <f>(HB38/$GT$4)*100</f>
        <v>0</v>
      </c>
      <c r="HD38" s="8">
        <v>0</v>
      </c>
      <c r="HE38" s="6">
        <f>(GU38/$GT$4)*100</f>
        <v>0</v>
      </c>
      <c r="HF38" s="8">
        <f t="shared" si="396"/>
        <v>0</v>
      </c>
      <c r="HG38" s="8">
        <f t="shared" si="397"/>
        <v>100</v>
      </c>
      <c r="HH38" s="6">
        <f t="shared" ref="HH38:HH39" si="532">(HJ38/($GT$4*HK38))*100</f>
        <v>0</v>
      </c>
      <c r="HI38" s="6">
        <f>SUM(GV38:GX38,GZ38,HB38)</f>
        <v>744</v>
      </c>
      <c r="HJ38" s="8">
        <v>0</v>
      </c>
      <c r="HK38" s="8">
        <v>21</v>
      </c>
      <c r="HM38" s="16" t="s">
        <v>42</v>
      </c>
      <c r="HN38" s="37" t="s">
        <v>47</v>
      </c>
      <c r="HO38" s="53">
        <v>0</v>
      </c>
      <c r="HP38" s="53">
        <v>0</v>
      </c>
      <c r="HQ38" s="53">
        <v>0</v>
      </c>
      <c r="HR38" s="53">
        <v>720</v>
      </c>
      <c r="HS38" s="6">
        <f>(HR38/$HN$4)*100</f>
        <v>100</v>
      </c>
      <c r="HT38" s="8">
        <v>0</v>
      </c>
      <c r="HU38" s="6">
        <f>(HT38/$HN$4)*100</f>
        <v>0</v>
      </c>
      <c r="HV38" s="8">
        <v>0</v>
      </c>
      <c r="HW38" s="6">
        <f>(HV38/$HN$4)*100</f>
        <v>0</v>
      </c>
      <c r="HX38" s="8">
        <v>0</v>
      </c>
      <c r="HY38" s="6">
        <f>(HO38/$HN$4)*100</f>
        <v>0</v>
      </c>
      <c r="HZ38" s="21">
        <f>((HO38-HX38)/$HN$4)*100</f>
        <v>0</v>
      </c>
      <c r="IA38" s="21">
        <f t="shared" ref="IA38:IA39" si="533">IF((AND(HP38=0,HR38=0)),0,(HR38+HX38)/(HP38+HR38)*100)</f>
        <v>100</v>
      </c>
      <c r="IB38" s="6">
        <f>(ID38/($HN$4*IE38))*100</f>
        <v>0</v>
      </c>
      <c r="IC38" s="6">
        <f>SUM(HP38:HR38,HT38,HV38)</f>
        <v>720</v>
      </c>
      <c r="ID38" s="8">
        <v>0</v>
      </c>
      <c r="IE38" s="8">
        <v>21</v>
      </c>
      <c r="IF38" s="15">
        <v>0</v>
      </c>
    </row>
    <row r="39" spans="1:240" ht="15" x14ac:dyDescent="0.25">
      <c r="A39" s="16" t="s">
        <v>43</v>
      </c>
      <c r="B39" s="37" t="s">
        <v>48</v>
      </c>
      <c r="C39" s="8">
        <v>24</v>
      </c>
      <c r="D39" s="8">
        <v>2.2000000000000002</v>
      </c>
      <c r="E39" s="8">
        <v>21.8</v>
      </c>
      <c r="F39" s="8">
        <v>720</v>
      </c>
      <c r="G39" s="6">
        <f t="shared" si="339"/>
        <v>96.774193548387103</v>
      </c>
      <c r="H39" s="8">
        <v>0</v>
      </c>
      <c r="I39" s="6">
        <f t="shared" si="340"/>
        <v>0</v>
      </c>
      <c r="J39" s="6">
        <v>0</v>
      </c>
      <c r="K39" s="6">
        <f t="shared" si="524"/>
        <v>0</v>
      </c>
      <c r="L39" s="8">
        <v>0</v>
      </c>
      <c r="M39" s="6">
        <f t="shared" ref="M39" si="534">(C39/$B$4)*100</f>
        <v>3.225806451612903</v>
      </c>
      <c r="N39" s="6">
        <f t="shared" si="525"/>
        <v>3.225806451612903</v>
      </c>
      <c r="O39" s="6">
        <f t="shared" si="526"/>
        <v>99.695375242315137</v>
      </c>
      <c r="P39" s="6">
        <f t="shared" ref="P39" si="535">(R39/($B$4*S39))*100</f>
        <v>0.21121351766513058</v>
      </c>
      <c r="Q39" s="6">
        <f t="shared" ref="Q39" si="536">SUM(D39:F39,H39,J39)</f>
        <v>744</v>
      </c>
      <c r="R39" s="8">
        <v>33</v>
      </c>
      <c r="S39" s="8">
        <v>21</v>
      </c>
      <c r="U39" s="16" t="s">
        <v>43</v>
      </c>
      <c r="V39" s="37" t="s">
        <v>48</v>
      </c>
      <c r="W39" s="8">
        <v>3.7</v>
      </c>
      <c r="X39" s="8">
        <v>2.7</v>
      </c>
      <c r="Y39" s="8">
        <v>1</v>
      </c>
      <c r="Z39" s="8">
        <v>740.3</v>
      </c>
      <c r="AA39" s="6">
        <f t="shared" si="117"/>
        <v>99.502688172043008</v>
      </c>
      <c r="AB39" s="8">
        <v>0</v>
      </c>
      <c r="AC39" s="8">
        <f t="shared" si="118"/>
        <v>0</v>
      </c>
      <c r="AD39" s="8">
        <v>0</v>
      </c>
      <c r="AE39" s="6">
        <f t="shared" si="118"/>
        <v>0</v>
      </c>
      <c r="AF39" s="8">
        <v>0</v>
      </c>
      <c r="AG39" s="6">
        <f>(W39/$V$4)*100</f>
        <v>0.49731182795698925</v>
      </c>
      <c r="AH39" s="6">
        <f t="shared" si="119"/>
        <v>0.49731182795698925</v>
      </c>
      <c r="AI39" s="6">
        <f t="shared" si="120"/>
        <v>99.636608344549117</v>
      </c>
      <c r="AJ39" s="6">
        <f t="shared" ref="AJ39" si="537">(AL39/($V$4*AM39))*100</f>
        <v>0.23681515616999488</v>
      </c>
      <c r="AK39" s="6">
        <f t="shared" ref="AK39" si="538">SUM(X39:Z39,AB39,AD39)</f>
        <v>744</v>
      </c>
      <c r="AL39" s="8">
        <v>37</v>
      </c>
      <c r="AM39" s="8">
        <v>21</v>
      </c>
      <c r="AO39" s="16" t="s">
        <v>43</v>
      </c>
      <c r="AP39" s="37" t="s">
        <v>48</v>
      </c>
      <c r="AQ39" s="8">
        <v>9.8000000000000007</v>
      </c>
      <c r="AR39" s="8">
        <v>9.8000000000000007</v>
      </c>
      <c r="AS39" s="8">
        <v>0</v>
      </c>
      <c r="AT39" s="8">
        <v>710.2</v>
      </c>
      <c r="AU39" s="6">
        <f t="shared" si="121"/>
        <v>98.6388888888889</v>
      </c>
      <c r="AV39" s="8">
        <v>0</v>
      </c>
      <c r="AW39" s="8">
        <f t="shared" si="122"/>
        <v>0</v>
      </c>
      <c r="AX39" s="8">
        <v>0</v>
      </c>
      <c r="AY39" s="6">
        <f>(AX39/$AP$4)*100</f>
        <v>0</v>
      </c>
      <c r="AZ39" s="8">
        <v>0</v>
      </c>
      <c r="BA39" s="6">
        <f t="shared" ref="BA39" si="539">(AQ39/$AP$4)*100</f>
        <v>1.3611111111111112</v>
      </c>
      <c r="BB39" s="6">
        <f t="shared" si="456"/>
        <v>1.3611111111111112</v>
      </c>
      <c r="BC39" s="15">
        <f t="shared" si="457"/>
        <v>98.6388888888889</v>
      </c>
      <c r="BD39" s="6">
        <f t="shared" si="527"/>
        <v>1.2050264550264549</v>
      </c>
      <c r="BE39" s="6">
        <f t="shared" ref="BE39" si="540">SUM(AR39:AT39,AV39,AX39)</f>
        <v>720</v>
      </c>
      <c r="BF39" s="8">
        <v>182.2</v>
      </c>
      <c r="BG39" s="8">
        <v>21</v>
      </c>
      <c r="BI39" s="16" t="s">
        <v>43</v>
      </c>
      <c r="BJ39" s="37" t="s">
        <v>48</v>
      </c>
      <c r="BK39" s="8">
        <f>744-BN39-BP39-BR39</f>
        <v>48.200000000000045</v>
      </c>
      <c r="BL39" s="8">
        <v>48.2</v>
      </c>
      <c r="BM39" s="8">
        <v>0</v>
      </c>
      <c r="BN39" s="8">
        <v>695.8</v>
      </c>
      <c r="BO39" s="6">
        <f t="shared" si="126"/>
        <v>93.521505376344081</v>
      </c>
      <c r="BP39" s="8">
        <v>0</v>
      </c>
      <c r="BQ39" s="8">
        <f t="shared" si="127"/>
        <v>0</v>
      </c>
      <c r="BR39" s="8">
        <v>0</v>
      </c>
      <c r="BS39" s="6">
        <f>(BR39/$BJ$4)*100</f>
        <v>0</v>
      </c>
      <c r="BT39" s="8">
        <v>0</v>
      </c>
      <c r="BU39" s="6">
        <f t="shared" ref="BU39" si="541">(BK39/$BJ$4)*100</f>
        <v>6.4784946236559202</v>
      </c>
      <c r="BV39" s="6">
        <f t="shared" si="460"/>
        <v>6.4784946236559202</v>
      </c>
      <c r="BW39" s="6">
        <f t="shared" si="461"/>
        <v>93.521505376344081</v>
      </c>
      <c r="BX39" s="6">
        <f t="shared" si="528"/>
        <v>5.4531490015360982</v>
      </c>
      <c r="BY39" s="6">
        <f t="shared" ref="BY39" si="542">SUM(BL39:BN39,BP39,BR39)</f>
        <v>744</v>
      </c>
      <c r="BZ39" s="8">
        <v>852</v>
      </c>
      <c r="CA39" s="8">
        <v>21</v>
      </c>
      <c r="CC39" s="16" t="s">
        <v>43</v>
      </c>
      <c r="CD39" s="37" t="s">
        <v>48</v>
      </c>
      <c r="CE39" s="8">
        <v>6.2</v>
      </c>
      <c r="CF39" s="8">
        <v>6.2</v>
      </c>
      <c r="CG39" s="8">
        <v>0</v>
      </c>
      <c r="CH39" s="8">
        <v>713.8</v>
      </c>
      <c r="CI39" s="6">
        <f t="shared" si="413"/>
        <v>99.138888888888886</v>
      </c>
      <c r="CJ39" s="8">
        <v>0</v>
      </c>
      <c r="CK39" s="8">
        <f t="shared" si="414"/>
        <v>0</v>
      </c>
      <c r="CL39" s="8">
        <v>0</v>
      </c>
      <c r="CM39" s="6">
        <f t="shared" ref="CM39" si="543">(CL39/$CD$4)*100</f>
        <v>0</v>
      </c>
      <c r="CN39" s="8">
        <v>0</v>
      </c>
      <c r="CO39" s="6">
        <f t="shared" ref="CO39" si="544">(CE39/$CD$4)*100</f>
        <v>0.86111111111111116</v>
      </c>
      <c r="CP39" s="6">
        <f t="shared" si="132"/>
        <v>0.86111111111111116</v>
      </c>
      <c r="CQ39" s="18">
        <f t="shared" si="415"/>
        <v>99.138888888888886</v>
      </c>
      <c r="CR39" s="6">
        <f t="shared" si="529"/>
        <v>0.79365079365079361</v>
      </c>
      <c r="CS39" s="6">
        <f t="shared" ref="CS39" si="545">SUM(CF39:CH39,CJ39,CL39)</f>
        <v>720</v>
      </c>
      <c r="CT39" s="8">
        <v>120</v>
      </c>
      <c r="CU39" s="8">
        <v>21</v>
      </c>
      <c r="CW39" s="16" t="s">
        <v>43</v>
      </c>
      <c r="CX39" s="37" t="s">
        <v>48</v>
      </c>
      <c r="CY39" s="8">
        <v>12.6</v>
      </c>
      <c r="CZ39" s="8">
        <v>12.6</v>
      </c>
      <c r="DA39" s="8">
        <v>0</v>
      </c>
      <c r="DB39" s="8">
        <v>731.4</v>
      </c>
      <c r="DC39" s="6">
        <f t="shared" si="416"/>
        <v>98.306451612903217</v>
      </c>
      <c r="DD39" s="8">
        <v>0</v>
      </c>
      <c r="DE39" s="6">
        <f t="shared" si="417"/>
        <v>0</v>
      </c>
      <c r="DF39" s="6">
        <v>0</v>
      </c>
      <c r="DG39" s="6">
        <f t="shared" ref="DG39" si="546">(DF39/$CX$4)*100</f>
        <v>0</v>
      </c>
      <c r="DH39" s="8">
        <v>0</v>
      </c>
      <c r="DI39" s="6">
        <f>(CY39/$V$4)*100</f>
        <v>1.693548387096774</v>
      </c>
      <c r="DJ39" s="6">
        <f t="shared" si="464"/>
        <v>1.693548387096774</v>
      </c>
      <c r="DK39" s="18">
        <f t="shared" si="465"/>
        <v>98.306451612903217</v>
      </c>
      <c r="DL39" s="6">
        <f t="shared" ref="DL39" si="547">(DN39/($CX$4*DO39))*100</f>
        <v>0.37122375832053256</v>
      </c>
      <c r="DM39" s="6">
        <f t="shared" ref="DM39" si="548">SUM(CZ39:DB39,DD39,DF39)</f>
        <v>744</v>
      </c>
      <c r="DN39" s="8">
        <v>58</v>
      </c>
      <c r="DO39" s="8">
        <v>21</v>
      </c>
      <c r="DQ39" s="16" t="s">
        <v>43</v>
      </c>
      <c r="DR39" s="37" t="s">
        <v>48</v>
      </c>
      <c r="DS39" s="8">
        <v>21.6</v>
      </c>
      <c r="DT39" s="8">
        <v>21.6</v>
      </c>
      <c r="DU39" s="8">
        <v>0</v>
      </c>
      <c r="DV39" s="8">
        <v>722.4</v>
      </c>
      <c r="DW39" s="6">
        <f t="shared" si="420"/>
        <v>97.096774193548384</v>
      </c>
      <c r="DX39" s="8">
        <v>0</v>
      </c>
      <c r="DY39" s="6">
        <f t="shared" si="421"/>
        <v>0</v>
      </c>
      <c r="DZ39" s="6">
        <v>0</v>
      </c>
      <c r="EA39" s="6">
        <f>(DZ39/$DR$4)*100</f>
        <v>0</v>
      </c>
      <c r="EB39" s="8">
        <v>0</v>
      </c>
      <c r="EC39" s="6">
        <f>(DS39/$V$4)*100</f>
        <v>2.903225806451613</v>
      </c>
      <c r="ED39" s="6">
        <f t="shared" si="467"/>
        <v>2.903225806451613</v>
      </c>
      <c r="EE39" s="18">
        <f t="shared" si="468"/>
        <v>97.096774193548384</v>
      </c>
      <c r="EF39" s="6">
        <f t="shared" ref="EF39" si="549">(EH39/($DR$4*EI39))*100</f>
        <v>2.5153609831029189</v>
      </c>
      <c r="EG39" s="6">
        <f t="shared" ref="EG39" si="550">SUM(DT39:DV39,DX39,DZ39)</f>
        <v>744</v>
      </c>
      <c r="EH39" s="8">
        <v>393</v>
      </c>
      <c r="EI39" s="8">
        <v>21</v>
      </c>
      <c r="EK39" s="16" t="s">
        <v>43</v>
      </c>
      <c r="EL39" s="37" t="s">
        <v>48</v>
      </c>
      <c r="EM39" s="8">
        <f>EN39+EO39</f>
        <v>9.9</v>
      </c>
      <c r="EN39" s="8">
        <v>4.7</v>
      </c>
      <c r="EO39" s="8">
        <v>5.2</v>
      </c>
      <c r="EP39" s="8">
        <v>662.1</v>
      </c>
      <c r="EQ39" s="6">
        <f t="shared" si="424"/>
        <v>98.526785714285708</v>
      </c>
      <c r="ER39" s="8">
        <v>0</v>
      </c>
      <c r="ES39" s="6">
        <f t="shared" si="425"/>
        <v>0</v>
      </c>
      <c r="ET39" s="6">
        <v>0</v>
      </c>
      <c r="EU39" s="6">
        <f>(ET39/$EL$4)*100</f>
        <v>0</v>
      </c>
      <c r="EV39" s="8">
        <v>0</v>
      </c>
      <c r="EW39" s="6">
        <f>(EM39/$V$4)*100</f>
        <v>1.3306451612903227</v>
      </c>
      <c r="EX39" s="6">
        <f t="shared" si="469"/>
        <v>1.4732142857142856</v>
      </c>
      <c r="EY39" s="18">
        <f t="shared" si="470"/>
        <v>99.295140971805623</v>
      </c>
      <c r="EZ39" s="6">
        <f t="shared" ref="EZ39" si="551">(FB39/($EL$4*FC39))*100</f>
        <v>0.55272108843537415</v>
      </c>
      <c r="FA39" s="6">
        <f t="shared" ref="FA39" si="552">SUM(EN39:EP39,ER39,ET39)</f>
        <v>672</v>
      </c>
      <c r="FB39" s="8">
        <v>78</v>
      </c>
      <c r="FC39" s="8">
        <v>21</v>
      </c>
      <c r="FE39" s="16" t="s">
        <v>43</v>
      </c>
      <c r="FF39" s="37" t="s">
        <v>48</v>
      </c>
      <c r="FG39" s="8">
        <f>FH39+FI39</f>
        <v>6.9</v>
      </c>
      <c r="FH39" s="8">
        <v>1.2</v>
      </c>
      <c r="FI39" s="8">
        <v>5.7</v>
      </c>
      <c r="FJ39" s="8">
        <v>737.1</v>
      </c>
      <c r="FK39" s="6">
        <f t="shared" si="439"/>
        <v>99.072580645161295</v>
      </c>
      <c r="FL39" s="8">
        <v>0</v>
      </c>
      <c r="FM39" s="6">
        <f t="shared" si="440"/>
        <v>0</v>
      </c>
      <c r="FN39" s="6">
        <v>0</v>
      </c>
      <c r="FO39" s="6">
        <f t="shared" ref="FO39" si="553">(FN39/$FF$4)*100</f>
        <v>0</v>
      </c>
      <c r="FP39" s="8">
        <v>0</v>
      </c>
      <c r="FQ39" s="6">
        <f>(FG39/$V$4)*100</f>
        <v>0.92741935483870974</v>
      </c>
      <c r="FR39" s="6">
        <f t="shared" si="473"/>
        <v>0.92741935483870974</v>
      </c>
      <c r="FS39" s="18">
        <f t="shared" si="474"/>
        <v>99.837464445347408</v>
      </c>
      <c r="FT39" s="6">
        <f t="shared" ref="FT39" si="554">(FV39/($FF$4*FW39))*100</f>
        <v>0.15360983102918588</v>
      </c>
      <c r="FU39" s="6">
        <f t="shared" ref="FU39" si="555">SUM(FH39:FJ39,FL39,FN39)</f>
        <v>744</v>
      </c>
      <c r="FV39" s="8">
        <v>24</v>
      </c>
      <c r="FW39" s="8">
        <v>21</v>
      </c>
      <c r="FY39" s="16" t="s">
        <v>43</v>
      </c>
      <c r="FZ39" s="37" t="s">
        <v>48</v>
      </c>
      <c r="GA39" s="8">
        <v>0</v>
      </c>
      <c r="GB39" s="8">
        <v>0</v>
      </c>
      <c r="GC39" s="8">
        <v>0</v>
      </c>
      <c r="GD39" s="8">
        <v>720</v>
      </c>
      <c r="GE39" s="8">
        <f>(GD39/$FZ$4)</f>
        <v>1</v>
      </c>
      <c r="GF39" s="8">
        <v>0</v>
      </c>
      <c r="GG39" s="8">
        <f t="shared" si="431"/>
        <v>0</v>
      </c>
      <c r="GH39" s="8">
        <v>0</v>
      </c>
      <c r="GI39" s="6">
        <f t="shared" ref="GI39" si="556">(GH39/$FZ$4)*100</f>
        <v>0</v>
      </c>
      <c r="GJ39" s="8">
        <v>0</v>
      </c>
      <c r="GK39" s="6">
        <f>(GA39/$V$4)*100</f>
        <v>0</v>
      </c>
      <c r="GL39" s="8">
        <f t="shared" si="530"/>
        <v>0</v>
      </c>
      <c r="GM39" s="6">
        <f t="shared" si="531"/>
        <v>100</v>
      </c>
      <c r="GN39" s="6">
        <f t="shared" ref="GN39" si="557">(GP39/($FZ$4*GQ39))*100</f>
        <v>0</v>
      </c>
      <c r="GO39" s="6">
        <f t="shared" ref="GO39" si="558">SUM(GB39:GD39,GF39,GH39)</f>
        <v>720</v>
      </c>
      <c r="GP39" s="8">
        <v>0</v>
      </c>
      <c r="GQ39" s="8">
        <v>21</v>
      </c>
      <c r="GS39" s="16" t="s">
        <v>43</v>
      </c>
      <c r="GT39" s="37" t="s">
        <v>48</v>
      </c>
      <c r="GU39" s="8">
        <v>0</v>
      </c>
      <c r="GV39" s="8">
        <v>0</v>
      </c>
      <c r="GW39" s="8">
        <v>0</v>
      </c>
      <c r="GX39" s="8">
        <v>744</v>
      </c>
      <c r="GY39" s="8">
        <f t="shared" ref="GY39:GY78" si="559">(GX39/$GT$4)*100</f>
        <v>100</v>
      </c>
      <c r="GZ39" s="8">
        <v>0</v>
      </c>
      <c r="HA39" s="8">
        <f t="shared" ref="HA39:HA78" si="560">(GZ39/$GT$4)*100</f>
        <v>0</v>
      </c>
      <c r="HB39" s="8">
        <v>0</v>
      </c>
      <c r="HC39" s="6">
        <f t="shared" ref="HC39" si="561">(HB39/$GT$4)*100</f>
        <v>0</v>
      </c>
      <c r="HD39" s="8">
        <v>0</v>
      </c>
      <c r="HE39" s="6">
        <f>(GU39/$GT$4)*100</f>
        <v>0</v>
      </c>
      <c r="HF39" s="8">
        <f t="shared" si="396"/>
        <v>0</v>
      </c>
      <c r="HG39" s="8">
        <f t="shared" si="397"/>
        <v>100</v>
      </c>
      <c r="HH39" s="6">
        <f t="shared" si="532"/>
        <v>0</v>
      </c>
      <c r="HI39" s="6">
        <f t="shared" ref="HI39" si="562">SUM(GV39:GX39,GZ39,HB39)</f>
        <v>744</v>
      </c>
      <c r="HJ39" s="8">
        <v>0</v>
      </c>
      <c r="HK39" s="8">
        <v>21</v>
      </c>
      <c r="HM39" s="16" t="s">
        <v>43</v>
      </c>
      <c r="HN39" s="37" t="s">
        <v>48</v>
      </c>
      <c r="HO39" s="53">
        <v>0</v>
      </c>
      <c r="HP39" s="53">
        <v>0</v>
      </c>
      <c r="HQ39" s="53">
        <v>0</v>
      </c>
      <c r="HR39" s="53">
        <v>720</v>
      </c>
      <c r="HS39" s="6">
        <f t="shared" ref="HS39" si="563">(HR39/$HN$4)*100</f>
        <v>100</v>
      </c>
      <c r="HT39" s="8">
        <v>0</v>
      </c>
      <c r="HU39" s="6">
        <f t="shared" ref="HU39" si="564">(HT39/$HN$4)*100</f>
        <v>0</v>
      </c>
      <c r="HV39" s="8">
        <v>0</v>
      </c>
      <c r="HW39" s="6">
        <f t="shared" ref="HW39" si="565">(HV39/$HN$4)*100</f>
        <v>0</v>
      </c>
      <c r="HX39" s="8">
        <v>0</v>
      </c>
      <c r="HY39" s="6">
        <f>(HO39/$HN$4)*100</f>
        <v>0</v>
      </c>
      <c r="HZ39" s="21">
        <f>((HO39-HX39)/$HN$4)*100</f>
        <v>0</v>
      </c>
      <c r="IA39" s="6">
        <f t="shared" si="533"/>
        <v>100</v>
      </c>
      <c r="IB39" s="6">
        <f>(ID39/($HN$4*IE39))*100</f>
        <v>0</v>
      </c>
      <c r="IC39" s="6">
        <f t="shared" ref="IC39" si="566">SUM(HP39:HR39,HT39,HV39)</f>
        <v>720</v>
      </c>
      <c r="ID39" s="8">
        <v>0</v>
      </c>
      <c r="IE39" s="8">
        <v>21</v>
      </c>
      <c r="IF39" s="15">
        <v>0</v>
      </c>
    </row>
    <row r="40" spans="1:240" ht="15" x14ac:dyDescent="0.25">
      <c r="A40" s="16"/>
      <c r="B40" s="95" t="s">
        <v>39</v>
      </c>
      <c r="C40" s="25">
        <f>SUM(C38:C39)</f>
        <v>24</v>
      </c>
      <c r="D40" s="25">
        <f t="shared" ref="D40" si="567">SUM(D38:D39)</f>
        <v>2.2000000000000002</v>
      </c>
      <c r="E40" s="25">
        <f>SUM(E38:E39)</f>
        <v>21.8</v>
      </c>
      <c r="F40" s="25">
        <f t="shared" ref="F40" si="568">SUM(F38:F39)</f>
        <v>1464</v>
      </c>
      <c r="G40" s="26">
        <f>(G38*S38+G39*S39)/S40</f>
        <v>98.387096774193537</v>
      </c>
      <c r="H40" s="29">
        <f t="shared" ref="H40:L40" si="569">SUM(H38:H39)</f>
        <v>0</v>
      </c>
      <c r="I40" s="26">
        <f>(I38*S38+I39*S39)/S40</f>
        <v>0</v>
      </c>
      <c r="J40" s="30">
        <f>SUM(J38:J39)</f>
        <v>0</v>
      </c>
      <c r="K40" s="30">
        <f>(K38*S38+K39*S39)/S40</f>
        <v>0</v>
      </c>
      <c r="L40" s="29">
        <f t="shared" si="569"/>
        <v>0</v>
      </c>
      <c r="M40" s="26">
        <f>(M38*S38+M39*S39)/S40</f>
        <v>1.6129032258064515</v>
      </c>
      <c r="N40" s="7">
        <f>(N38*S38+N39*S39)/S40</f>
        <v>1.6129032258064515</v>
      </c>
      <c r="O40" s="7">
        <f>(O38*S38+O39*S39)/S40</f>
        <v>99.847687621157576</v>
      </c>
      <c r="P40" s="7">
        <f>(P38*S38+P39*S39)/S40</f>
        <v>0.10560675883256529</v>
      </c>
      <c r="Q40" s="30">
        <f>SUM(Q38:Q39)</f>
        <v>1488</v>
      </c>
      <c r="R40" s="25">
        <f>SUM(R38:R39)</f>
        <v>33</v>
      </c>
      <c r="S40" s="25">
        <f>SUM(S38:S39)</f>
        <v>42</v>
      </c>
      <c r="U40" s="16"/>
      <c r="V40" s="87" t="s">
        <v>39</v>
      </c>
      <c r="W40" s="29">
        <f>SUM(W38:W39)</f>
        <v>3.7</v>
      </c>
      <c r="X40" s="29">
        <f t="shared" ref="X40:Z40" si="570">SUM(X38:X39)</f>
        <v>2.7</v>
      </c>
      <c r="Y40" s="29">
        <f>SUM(Y38:Y39)</f>
        <v>1</v>
      </c>
      <c r="Z40" s="29">
        <f t="shared" si="570"/>
        <v>1484.3</v>
      </c>
      <c r="AA40" s="30">
        <f>(AA38*AM38+AA39*AM39)/AM40</f>
        <v>99.751344086021504</v>
      </c>
      <c r="AB40" s="29">
        <f t="shared" ref="AB40:AF40" si="571">SUM(AB38:AB39)</f>
        <v>0</v>
      </c>
      <c r="AC40" s="30">
        <f>(AC38*AM38+AC39*AM39)/AM40</f>
        <v>0</v>
      </c>
      <c r="AD40" s="30">
        <f>SUM(AD38:AD39)</f>
        <v>0</v>
      </c>
      <c r="AE40" s="30">
        <f>SUM(AE38:AE39)</f>
        <v>0</v>
      </c>
      <c r="AF40" s="29">
        <f t="shared" si="571"/>
        <v>0</v>
      </c>
      <c r="AG40" s="26">
        <f>(AG38*AM38+AG39*AM39)/AM40</f>
        <v>0.24865591397849462</v>
      </c>
      <c r="AH40" s="30">
        <f>(AH38*AM38+AH39*AM39)/AM40</f>
        <v>0.24865591397849462</v>
      </c>
      <c r="AI40" s="30">
        <f>(AI38*AM38+AI39*AM39)/AM40</f>
        <v>99.818304172274537</v>
      </c>
      <c r="AJ40" s="7">
        <f>(AJ38*AM38+AJ39*AM39)/AM40</f>
        <v>0.11840757808499743</v>
      </c>
      <c r="AK40" s="30">
        <f>SUM(AK38:AK39)</f>
        <v>1488</v>
      </c>
      <c r="AL40" s="33">
        <f>SUM(AL38:AL39)</f>
        <v>37</v>
      </c>
      <c r="AM40" s="29">
        <f>SUM(AM38:AM39)</f>
        <v>42</v>
      </c>
      <c r="AO40" s="16"/>
      <c r="AP40" s="87" t="s">
        <v>39</v>
      </c>
      <c r="AQ40" s="25">
        <f>SUM(AQ38:AQ39)</f>
        <v>9.8000000000000007</v>
      </c>
      <c r="AR40" s="25">
        <f t="shared" ref="AR40:AT40" si="572">SUM(AR38:AR39)</f>
        <v>9.8000000000000007</v>
      </c>
      <c r="AS40" s="25">
        <f>SUM(AS38:AS39)</f>
        <v>0</v>
      </c>
      <c r="AT40" s="25">
        <f t="shared" si="572"/>
        <v>1430.2</v>
      </c>
      <c r="AU40" s="26">
        <f>(AU38*BG38+AU39*BG39)/BG40</f>
        <v>99.319444444444457</v>
      </c>
      <c r="AV40" s="29">
        <f t="shared" ref="AV40:AZ40" si="573">SUM(AV38:AV39)</f>
        <v>0</v>
      </c>
      <c r="AW40" s="26">
        <f>(AW38*BG38+AW39*BG39)/BG40</f>
        <v>0</v>
      </c>
      <c r="AX40" s="30">
        <f>SUM(AX38:AX39)</f>
        <v>0</v>
      </c>
      <c r="AY40" s="30">
        <f>(AY38*BG38+AY39*BG39)/BG40</f>
        <v>0</v>
      </c>
      <c r="AZ40" s="29">
        <f t="shared" si="573"/>
        <v>0</v>
      </c>
      <c r="BA40" s="26">
        <f>(BA38*BG38+BA39*BG39)/BG40</f>
        <v>0.68055555555555558</v>
      </c>
      <c r="BB40" s="7">
        <f>(BB38*BG38+BB39*BG39)/BG40</f>
        <v>0.68055555555555558</v>
      </c>
      <c r="BC40" s="7">
        <f>(BC38*BG38+BC39*BG39)/BG40</f>
        <v>99.319444444444457</v>
      </c>
      <c r="BD40" s="7">
        <f>(BD38*BG38+BD39*BG39)/BG40</f>
        <v>0.60251322751322745</v>
      </c>
      <c r="BE40" s="30">
        <f>SUM(BE38:BE39)</f>
        <v>1440</v>
      </c>
      <c r="BF40" s="29">
        <f>SUM(BF38:BF39)</f>
        <v>182.2</v>
      </c>
      <c r="BG40" s="29">
        <f>SUM(BG38:BG39)</f>
        <v>42</v>
      </c>
      <c r="BI40" s="16"/>
      <c r="BJ40" s="87" t="s">
        <v>39</v>
      </c>
      <c r="BK40" s="25">
        <f>SUM(BK38:BK39)</f>
        <v>48.200000000000045</v>
      </c>
      <c r="BL40" s="25">
        <f t="shared" ref="BL40:BN40" si="574">SUM(BL38:BL39)</f>
        <v>48.2</v>
      </c>
      <c r="BM40" s="25">
        <f>SUM(BM38:BM39)</f>
        <v>0</v>
      </c>
      <c r="BN40" s="25">
        <f t="shared" si="574"/>
        <v>1439.8</v>
      </c>
      <c r="BO40" s="26">
        <f>(BO38*CA38+BO39*CA39)/CA40</f>
        <v>96.760752688172033</v>
      </c>
      <c r="BP40" s="29">
        <f t="shared" ref="BP40:BT40" si="575">SUM(BP38:BP39)</f>
        <v>0</v>
      </c>
      <c r="BQ40" s="26">
        <f>(BQ38*CA38+BQ39*CA39)/CA40</f>
        <v>0</v>
      </c>
      <c r="BR40" s="30">
        <f>SUM(BR38:BR39)</f>
        <v>0</v>
      </c>
      <c r="BS40" s="30">
        <f>(BS38*CA38+BS39*CA39)/CA40</f>
        <v>0</v>
      </c>
      <c r="BT40" s="29">
        <f t="shared" si="575"/>
        <v>0</v>
      </c>
      <c r="BU40" s="26">
        <f>(BU38*CA38+BU39*CA39)/CA40</f>
        <v>3.2392473118279601</v>
      </c>
      <c r="BV40" s="7">
        <f>(BV38*CA38+BV39*CA39)/CA40</f>
        <v>3.2392473118279601</v>
      </c>
      <c r="BW40" s="7">
        <f>(BW38*CA38+BW39*CA39)/CA40</f>
        <v>96.760752688172033</v>
      </c>
      <c r="BX40" s="7">
        <f>(BX38*CA38+BX39*CA39)/CA40</f>
        <v>2.7265745007680491</v>
      </c>
      <c r="BY40" s="30">
        <f>SUM(BY38:BY39)</f>
        <v>1488</v>
      </c>
      <c r="BZ40" s="29">
        <f>SUM(BZ38:BZ39)</f>
        <v>852</v>
      </c>
      <c r="CA40" s="29">
        <f>SUM(CA38:CA39)</f>
        <v>42</v>
      </c>
      <c r="CC40" s="16"/>
      <c r="CD40" s="87" t="s">
        <v>39</v>
      </c>
      <c r="CE40" s="25">
        <f>SUM(CE38:CE39)</f>
        <v>6.2</v>
      </c>
      <c r="CF40" s="25">
        <f t="shared" ref="CF40:CH40" si="576">SUM(CF38:CF39)</f>
        <v>6.2</v>
      </c>
      <c r="CG40" s="25">
        <f>SUM(CG38:CG39)</f>
        <v>0</v>
      </c>
      <c r="CH40" s="25">
        <f t="shared" si="576"/>
        <v>1433.8</v>
      </c>
      <c r="CI40" s="26">
        <f>(CI38*CU38+CI39*CU39)/CU40</f>
        <v>99.569444444444429</v>
      </c>
      <c r="CJ40" s="29">
        <f t="shared" ref="CJ40:CN40" si="577">SUM(CJ38:CJ39)</f>
        <v>0</v>
      </c>
      <c r="CK40" s="26">
        <f>(CK38*CU38+CK39*CU39)/CU40</f>
        <v>0</v>
      </c>
      <c r="CL40" s="30">
        <f>SUM(CL38:CL39)</f>
        <v>0</v>
      </c>
      <c r="CM40" s="26">
        <f>(CM38*CU38+CM39*CU39)/CU40</f>
        <v>0</v>
      </c>
      <c r="CN40" s="29">
        <f t="shared" si="577"/>
        <v>0</v>
      </c>
      <c r="CO40" s="26">
        <f>(CO38*CU38+CO39*CU39)/CU40</f>
        <v>0.43055555555555564</v>
      </c>
      <c r="CP40" s="7">
        <f>(CP38*CU38+CP39*CU39)/CU40</f>
        <v>0.43055555555555564</v>
      </c>
      <c r="CQ40" s="7">
        <f>(CQ38*CU38+CQ39*CU39)/CU40</f>
        <v>99.569444444444429</v>
      </c>
      <c r="CR40" s="7">
        <f>(CR38*CU38+CR39*CU39)/CU40</f>
        <v>0.39682539682539675</v>
      </c>
      <c r="CS40" s="30">
        <f>SUM(CS38:CS39)</f>
        <v>1440</v>
      </c>
      <c r="CT40" s="29">
        <f>SUM(CT38:CT39)</f>
        <v>120</v>
      </c>
      <c r="CU40" s="29">
        <f>SUM(CU38:CU39)</f>
        <v>42</v>
      </c>
      <c r="CW40" s="16"/>
      <c r="CX40" s="87" t="s">
        <v>39</v>
      </c>
      <c r="CY40" s="25">
        <f>SUM(CY38:CY39)</f>
        <v>36.6</v>
      </c>
      <c r="CZ40" s="25">
        <f t="shared" ref="CZ40:DB40" si="578">SUM(CZ38:CZ39)</f>
        <v>12.6</v>
      </c>
      <c r="DA40" s="25">
        <f>SUM(DA38:DA39)</f>
        <v>24</v>
      </c>
      <c r="DB40" s="25">
        <f t="shared" si="578"/>
        <v>1451.4</v>
      </c>
      <c r="DC40" s="26">
        <f>(DC38*DO38+DC39*DO39)/DO40</f>
        <v>97.540322580645153</v>
      </c>
      <c r="DD40" s="29">
        <f t="shared" ref="DD40:DH40" si="579">SUM(DD38:DD39)</f>
        <v>0</v>
      </c>
      <c r="DE40" s="26">
        <f>(DE38*DO38+DE39*DO39)/DO40</f>
        <v>0</v>
      </c>
      <c r="DF40" s="30">
        <f>SUM(DF38:DF39)</f>
        <v>0</v>
      </c>
      <c r="DG40" s="30">
        <f>(DG38*DO38+DG39*DO39)/DO40</f>
        <v>0</v>
      </c>
      <c r="DH40" s="29">
        <f t="shared" si="579"/>
        <v>0</v>
      </c>
      <c r="DI40" s="26">
        <f>(DI38*DO38+DI39*DO39)/DO40</f>
        <v>2.4596774193548385</v>
      </c>
      <c r="DJ40" s="7">
        <f>(DJ38*DO38+DJ39*DO39)/DO40</f>
        <v>2.4596774193548385</v>
      </c>
      <c r="DK40" s="7">
        <f>(DK38*DO38+DK39*DO39)/DO40</f>
        <v>99.153225806451616</v>
      </c>
      <c r="DL40" s="7">
        <f>(DL38*DO38+DL39*DO39)/DO40</f>
        <v>0.18561187916026628</v>
      </c>
      <c r="DM40" s="30">
        <f>SUM(DM38:DM39)</f>
        <v>1488</v>
      </c>
      <c r="DN40" s="29">
        <f>SUM(DN38:DN39)</f>
        <v>58</v>
      </c>
      <c r="DO40" s="29">
        <f>SUM(DO38:DO39)</f>
        <v>42</v>
      </c>
      <c r="DQ40" s="16"/>
      <c r="DR40" s="87" t="s">
        <v>39</v>
      </c>
      <c r="DS40" s="25">
        <f>SUM(DS38:DS39)</f>
        <v>21.6</v>
      </c>
      <c r="DT40" s="25">
        <f t="shared" ref="DT40:DV40" si="580">SUM(DT38:DT39)</f>
        <v>21.6</v>
      </c>
      <c r="DU40" s="25">
        <f>SUM(DU38:DU39)</f>
        <v>0</v>
      </c>
      <c r="DV40" s="25">
        <f t="shared" si="580"/>
        <v>1466.4</v>
      </c>
      <c r="DW40" s="26">
        <f>(DW38*EI38+DW39*EI39)/EI40</f>
        <v>98.548387096774192</v>
      </c>
      <c r="DX40" s="29">
        <f t="shared" ref="DX40:EB40" si="581">SUM(DX38:DX39)</f>
        <v>0</v>
      </c>
      <c r="DY40" s="26">
        <f>(DY38*EI38+DY39*EI39)/EI40</f>
        <v>0</v>
      </c>
      <c r="DZ40" s="30">
        <f>SUM(DZ38:DZ39)</f>
        <v>0</v>
      </c>
      <c r="EA40" s="30">
        <f>(EA38*EI38+EA39*EI39)/EI40</f>
        <v>0</v>
      </c>
      <c r="EB40" s="29">
        <f t="shared" si="581"/>
        <v>0</v>
      </c>
      <c r="EC40" s="26">
        <f>(EC38*EI38+EC39*EI39)/EI40</f>
        <v>1.4516129032258065</v>
      </c>
      <c r="ED40" s="7">
        <f>(ED38*EI38+ED39*EI39)/EI40</f>
        <v>1.4516129032258065</v>
      </c>
      <c r="EE40" s="7">
        <f>(EE38*EI38+EE39*EI39)/EI40</f>
        <v>98.548387096774192</v>
      </c>
      <c r="EF40" s="7">
        <f>(EF38*EI38+EF39*EI39)/EI40</f>
        <v>1.2576804915514594</v>
      </c>
      <c r="EG40" s="30">
        <f>SUM(EG38:EG39)</f>
        <v>1488</v>
      </c>
      <c r="EH40" s="29">
        <f>SUM(EH38:EH39)</f>
        <v>393</v>
      </c>
      <c r="EI40" s="29">
        <f>SUM(EI38:EI39)</f>
        <v>42</v>
      </c>
      <c r="EK40" s="16"/>
      <c r="EL40" s="87" t="s">
        <v>39</v>
      </c>
      <c r="EM40" s="25">
        <f>SUM(EM38:EM39)</f>
        <v>9.9</v>
      </c>
      <c r="EN40" s="25">
        <f t="shared" ref="EN40:EP40" si="582">SUM(EN38:EN39)</f>
        <v>4.7</v>
      </c>
      <c r="EO40" s="25">
        <f>SUM(EO38:EO39)</f>
        <v>5.2</v>
      </c>
      <c r="EP40" s="25">
        <f t="shared" si="582"/>
        <v>1334.1</v>
      </c>
      <c r="EQ40" s="26">
        <f>(EQ38*FC38+EQ39*FC39)/FC40</f>
        <v>99.263392857142861</v>
      </c>
      <c r="ER40" s="29">
        <f t="shared" ref="ER40:EV40" si="583">SUM(ER38:ER39)</f>
        <v>0</v>
      </c>
      <c r="ES40" s="26">
        <f>(ES38*FC38+ES39*FC39)/FC40</f>
        <v>0</v>
      </c>
      <c r="ET40" s="30">
        <f>SUM(ET38:ET39)</f>
        <v>0</v>
      </c>
      <c r="EU40" s="30">
        <f>(EU38*FC38+EU39*FC39)/FC40</f>
        <v>0</v>
      </c>
      <c r="EV40" s="29">
        <f t="shared" si="583"/>
        <v>0</v>
      </c>
      <c r="EW40" s="26">
        <f>(EW38*FC38+EW39*FC39)/FC40</f>
        <v>0.66532258064516137</v>
      </c>
      <c r="EX40" s="7">
        <f>(EX38*FC38+EX39*FC39)/FC40</f>
        <v>0.73660714285714279</v>
      </c>
      <c r="EY40" s="7">
        <f>(EY38*FC38+EY39*FC39)/FC40</f>
        <v>99.647570485902804</v>
      </c>
      <c r="EZ40" s="7">
        <f>(EZ38*FC38+EZ39*FC39)/FC40</f>
        <v>0.27636054421768708</v>
      </c>
      <c r="FA40" s="30">
        <f>SUM(FA38:FA39)</f>
        <v>1344</v>
      </c>
      <c r="FB40" s="29">
        <f>SUM(FB38:FB39)</f>
        <v>78</v>
      </c>
      <c r="FC40" s="29">
        <f>SUM(FC38:FC39)</f>
        <v>42</v>
      </c>
      <c r="FE40" s="16"/>
      <c r="FF40" s="87" t="s">
        <v>39</v>
      </c>
      <c r="FG40" s="25">
        <f>SUM(FG38:FG39)</f>
        <v>6.9</v>
      </c>
      <c r="FH40" s="25">
        <f t="shared" ref="FH40:FJ40" si="584">SUM(FH38:FH39)</f>
        <v>1.2</v>
      </c>
      <c r="FI40" s="25">
        <f>SUM(FI38:FI39)</f>
        <v>5.7</v>
      </c>
      <c r="FJ40" s="25">
        <f t="shared" si="584"/>
        <v>1481.1</v>
      </c>
      <c r="FK40" s="26">
        <f>(FK38*FW38+FK39*FW39)/FW40</f>
        <v>99.536290322580655</v>
      </c>
      <c r="FL40" s="29">
        <f t="shared" ref="FL40:FP40" si="585">SUM(FL38:FL39)</f>
        <v>0</v>
      </c>
      <c r="FM40" s="26">
        <f>(FM38*FW38+FM39*FW39)/FW40</f>
        <v>0</v>
      </c>
      <c r="FN40" s="30">
        <f>SUM(FN38:FN39)</f>
        <v>0</v>
      </c>
      <c r="FO40" s="30">
        <f>(FO38*FW38+FO39*FW39)/FW40</f>
        <v>0</v>
      </c>
      <c r="FP40" s="29">
        <f t="shared" si="585"/>
        <v>0</v>
      </c>
      <c r="FQ40" s="26">
        <f>(FQ38*FW38+FQ39*FW39)/FW40</f>
        <v>0.46370967741935487</v>
      </c>
      <c r="FR40" s="7">
        <f>(FR38*FW38+FR39*FW39)/FW40</f>
        <v>0.46370967741935487</v>
      </c>
      <c r="FS40" s="7">
        <f>(FS38*FW38+FS39*FW39)/FW40</f>
        <v>99.918732222673711</v>
      </c>
      <c r="FT40" s="7">
        <f>(FT38*FW38+FT39*FW39)/FW40</f>
        <v>7.6804915514592939E-2</v>
      </c>
      <c r="FU40" s="30">
        <f>SUM(FU38:FU39)</f>
        <v>1488</v>
      </c>
      <c r="FV40" s="29">
        <f>SUM(FV38:FV39)</f>
        <v>24</v>
      </c>
      <c r="FW40" s="29">
        <f>SUM(FW38:FW39)</f>
        <v>42</v>
      </c>
      <c r="FY40" s="16"/>
      <c r="FZ40" s="87" t="s">
        <v>39</v>
      </c>
      <c r="GA40" s="25">
        <f>SUM(GA38:GA39)</f>
        <v>0</v>
      </c>
      <c r="GB40" s="25">
        <f t="shared" ref="GB40:GD40" si="586">SUM(GB38:GB39)</f>
        <v>0</v>
      </c>
      <c r="GC40" s="25">
        <f>SUM(GC38:GC39)</f>
        <v>0</v>
      </c>
      <c r="GD40" s="25">
        <f t="shared" si="586"/>
        <v>1440</v>
      </c>
      <c r="GE40" s="78">
        <f>(GE38*GQ38+GE39*GQ39)/GQ40</f>
        <v>1</v>
      </c>
      <c r="GF40" s="29">
        <f t="shared" ref="GF40:GJ40" si="587">SUM(GF38:GF39)</f>
        <v>0</v>
      </c>
      <c r="GG40" s="26">
        <f>(GG38*GQ38+GG39*GQ39)/GQ40</f>
        <v>0</v>
      </c>
      <c r="GH40" s="30">
        <f>SUM(GH38:GH39)</f>
        <v>0</v>
      </c>
      <c r="GI40" s="26">
        <f>(GI38*GQ38+GI39*GQ39)/GQ40</f>
        <v>0</v>
      </c>
      <c r="GJ40" s="29">
        <f t="shared" si="587"/>
        <v>0</v>
      </c>
      <c r="GK40" s="26">
        <f>(GK38*GQ38+GK39*GQ39)/GQ40</f>
        <v>0</v>
      </c>
      <c r="GL40" s="7">
        <f>(GL38*GQ38+GL39*GQ39)/GQ40</f>
        <v>0</v>
      </c>
      <c r="GM40" s="7">
        <f>(GM38*GQ38+GM39*GQ39)/GQ40</f>
        <v>100</v>
      </c>
      <c r="GN40" s="7">
        <f>(GN38*GQ38+GN39*GQ39)/GQ40</f>
        <v>0</v>
      </c>
      <c r="GO40" s="30">
        <f>SUM(GO38:GO39)</f>
        <v>1440</v>
      </c>
      <c r="GP40" s="29">
        <f>SUM(GP38:GP39)</f>
        <v>0</v>
      </c>
      <c r="GQ40" s="29">
        <f>SUM(GQ38:GQ39)</f>
        <v>42</v>
      </c>
      <c r="GS40" s="16"/>
      <c r="GT40" s="87" t="s">
        <v>39</v>
      </c>
      <c r="GU40" s="25">
        <f>SUM(GU38:GU39)</f>
        <v>0</v>
      </c>
      <c r="GV40" s="25">
        <f t="shared" ref="GV40:GX40" si="588">SUM(GV38:GV39)</f>
        <v>0</v>
      </c>
      <c r="GW40" s="25">
        <f>SUM(GW38:GW39)</f>
        <v>0</v>
      </c>
      <c r="GX40" s="25">
        <f t="shared" si="588"/>
        <v>1488</v>
      </c>
      <c r="GY40" s="26">
        <f>(GY38*HK38+GY39*HK39)/HK40</f>
        <v>100</v>
      </c>
      <c r="GZ40" s="29">
        <f t="shared" ref="GZ40:HD40" si="589">SUM(GZ38:GZ39)</f>
        <v>0</v>
      </c>
      <c r="HA40" s="26">
        <f>(HA38*HK38+HA39*HK39)/HK40</f>
        <v>0</v>
      </c>
      <c r="HB40" s="30">
        <f>SUM(HB38:HB39)</f>
        <v>0</v>
      </c>
      <c r="HC40" s="26">
        <f>(HC38*HK38+HC39*HK39)/HK40</f>
        <v>0</v>
      </c>
      <c r="HD40" s="29">
        <f t="shared" si="589"/>
        <v>0</v>
      </c>
      <c r="HE40" s="26">
        <f>(HE38*HK38+HE39*HK39)/HK40</f>
        <v>0</v>
      </c>
      <c r="HF40" s="7">
        <f>(HF38*HK38+HF39*HK39)/HK40</f>
        <v>0</v>
      </c>
      <c r="HG40" s="7">
        <f>(HG38*HK38+HG39*HK39)/HK40</f>
        <v>100</v>
      </c>
      <c r="HH40" s="7">
        <f>(HH38*HK38+HH39*HK39)/HK40</f>
        <v>0</v>
      </c>
      <c r="HI40" s="30">
        <f>SUM(HI38:HI39)</f>
        <v>1488</v>
      </c>
      <c r="HJ40" s="29">
        <f>SUM(HJ38:HJ39)</f>
        <v>0</v>
      </c>
      <c r="HK40" s="29">
        <f>SUM(HK38:HK39)</f>
        <v>42</v>
      </c>
      <c r="HM40" s="16"/>
      <c r="HN40" s="87" t="s">
        <v>39</v>
      </c>
      <c r="HO40" s="90">
        <f>SUM(HO38:HO39)</f>
        <v>0</v>
      </c>
      <c r="HP40" s="90">
        <f t="shared" ref="HP40:HR40" si="590">SUM(HP38:HP39)</f>
        <v>0</v>
      </c>
      <c r="HQ40" s="90">
        <f t="shared" si="590"/>
        <v>0</v>
      </c>
      <c r="HR40" s="90">
        <f t="shared" si="590"/>
        <v>1440</v>
      </c>
      <c r="HS40" s="26">
        <f>(HS38*IE38+HS39*IE39)/IE40</f>
        <v>100</v>
      </c>
      <c r="HT40" s="90">
        <f t="shared" ref="HT40" si="591">SUM(HT38:HT39)</f>
        <v>0</v>
      </c>
      <c r="HU40" s="26">
        <f>(HU38*IE38+HU39*IE39)/IE40</f>
        <v>0</v>
      </c>
      <c r="HV40" s="90">
        <f t="shared" ref="HV40:HX40" si="592">SUM(HV38:HV39)</f>
        <v>0</v>
      </c>
      <c r="HW40" s="26">
        <f>(HW38*IE38+HW39*IE39)/IE40</f>
        <v>0</v>
      </c>
      <c r="HX40" s="90">
        <f t="shared" si="592"/>
        <v>0</v>
      </c>
      <c r="HY40" s="30">
        <f>(HY38*IE38+HY39*IE39)/IE40</f>
        <v>0</v>
      </c>
      <c r="HZ40" s="193">
        <f>(HZ38*IE38+HZ39*IE39)/IE40</f>
        <v>0</v>
      </c>
      <c r="IA40" s="193">
        <f>(IA38*IE38+IA39*IE39)/IE40</f>
        <v>100</v>
      </c>
      <c r="IB40" s="193">
        <f>(IB38*IE38+IB39*IE39)/IE40</f>
        <v>0</v>
      </c>
      <c r="IC40" s="30">
        <f>SUM(IC38:IC39)</f>
        <v>1440</v>
      </c>
      <c r="ID40" s="29">
        <f>SUM(ID38:ID39)</f>
        <v>0</v>
      </c>
      <c r="IE40" s="29">
        <f>SUM(IE38:IE39)</f>
        <v>42</v>
      </c>
      <c r="IF40" s="15"/>
    </row>
    <row r="41" spans="1:240" ht="15" x14ac:dyDescent="0.25">
      <c r="A41" s="74" t="s">
        <v>44</v>
      </c>
      <c r="B41" s="37" t="s">
        <v>52</v>
      </c>
      <c r="C41" s="8">
        <v>0</v>
      </c>
      <c r="D41" s="8">
        <v>0</v>
      </c>
      <c r="E41" s="8">
        <v>0</v>
      </c>
      <c r="F41" s="8">
        <v>744</v>
      </c>
      <c r="G41" s="6">
        <f t="shared" si="339"/>
        <v>100</v>
      </c>
      <c r="H41" s="8">
        <v>0</v>
      </c>
      <c r="I41" s="6">
        <f t="shared" si="340"/>
        <v>0</v>
      </c>
      <c r="J41" s="6">
        <v>0</v>
      </c>
      <c r="K41" s="6">
        <f t="shared" si="524"/>
        <v>0</v>
      </c>
      <c r="L41" s="8">
        <v>0</v>
      </c>
      <c r="M41" s="6">
        <f>(C41/$B$4)*100</f>
        <v>0</v>
      </c>
      <c r="N41" s="8">
        <f t="shared" si="525"/>
        <v>0</v>
      </c>
      <c r="O41" s="8">
        <f t="shared" si="526"/>
        <v>100</v>
      </c>
      <c r="P41" s="6">
        <f>(R41/($B$4*S41))*100</f>
        <v>0</v>
      </c>
      <c r="Q41" s="6">
        <f>SUM(D41:F41,H41,J41)</f>
        <v>744</v>
      </c>
      <c r="R41" s="8">
        <v>0</v>
      </c>
      <c r="S41" s="8">
        <v>21</v>
      </c>
      <c r="U41" s="74" t="s">
        <v>44</v>
      </c>
      <c r="V41" s="37" t="s">
        <v>52</v>
      </c>
      <c r="W41" s="8">
        <v>0</v>
      </c>
      <c r="X41" s="8">
        <v>0</v>
      </c>
      <c r="Y41" s="8">
        <v>0</v>
      </c>
      <c r="Z41" s="8">
        <v>744</v>
      </c>
      <c r="AA41" s="8">
        <f t="shared" si="117"/>
        <v>100</v>
      </c>
      <c r="AB41" s="8">
        <v>0</v>
      </c>
      <c r="AC41" s="8">
        <f t="shared" si="118"/>
        <v>0</v>
      </c>
      <c r="AD41" s="8">
        <v>0</v>
      </c>
      <c r="AE41" s="6">
        <f t="shared" si="118"/>
        <v>0</v>
      </c>
      <c r="AF41" s="8">
        <v>0</v>
      </c>
      <c r="AG41" s="6">
        <f>(W41/$V$4)*100</f>
        <v>0</v>
      </c>
      <c r="AH41" s="8">
        <f t="shared" si="119"/>
        <v>0</v>
      </c>
      <c r="AI41" s="8">
        <f t="shared" si="120"/>
        <v>100</v>
      </c>
      <c r="AJ41" s="6">
        <f>(AL41/($V$4*AM41))*100</f>
        <v>0</v>
      </c>
      <c r="AK41" s="6">
        <f>SUM(X41:Z41,AB41,AD41)</f>
        <v>744</v>
      </c>
      <c r="AL41" s="8">
        <v>0</v>
      </c>
      <c r="AM41" s="8">
        <v>21</v>
      </c>
      <c r="AO41" s="74" t="s">
        <v>44</v>
      </c>
      <c r="AP41" s="37" t="s">
        <v>52</v>
      </c>
      <c r="AQ41" s="8">
        <v>0</v>
      </c>
      <c r="AR41" s="8">
        <v>0</v>
      </c>
      <c r="AS41" s="8">
        <v>0</v>
      </c>
      <c r="AT41" s="8">
        <v>720</v>
      </c>
      <c r="AU41" s="8">
        <f t="shared" si="121"/>
        <v>100</v>
      </c>
      <c r="AV41" s="8">
        <v>0</v>
      </c>
      <c r="AW41" s="8">
        <f t="shared" si="122"/>
        <v>0</v>
      </c>
      <c r="AX41" s="8">
        <v>0</v>
      </c>
      <c r="AY41" s="6">
        <f>(AX41/$AP$4)*100</f>
        <v>0</v>
      </c>
      <c r="AZ41" s="8">
        <v>0</v>
      </c>
      <c r="BA41" s="6">
        <f>(AQ41/$AP$4)*100</f>
        <v>0</v>
      </c>
      <c r="BB41" s="6">
        <f t="shared" si="456"/>
        <v>0</v>
      </c>
      <c r="BC41" s="15">
        <f t="shared" si="457"/>
        <v>100</v>
      </c>
      <c r="BD41" s="6">
        <f t="shared" ref="BD41:BD42" si="593">(BF41/($AP$4*BG41))*100</f>
        <v>0</v>
      </c>
      <c r="BE41" s="6">
        <f>SUM(AR41:AT41,AV41,AX41)</f>
        <v>720</v>
      </c>
      <c r="BF41" s="8">
        <v>0</v>
      </c>
      <c r="BG41" s="8">
        <v>21</v>
      </c>
      <c r="BI41" s="74" t="s">
        <v>44</v>
      </c>
      <c r="BJ41" s="37" t="s">
        <v>52</v>
      </c>
      <c r="BK41" s="8">
        <v>0</v>
      </c>
      <c r="BL41" s="8">
        <v>0</v>
      </c>
      <c r="BM41" s="8">
        <v>0</v>
      </c>
      <c r="BN41" s="8">
        <v>744</v>
      </c>
      <c r="BO41" s="6">
        <f t="shared" si="126"/>
        <v>100</v>
      </c>
      <c r="BP41" s="8">
        <v>0</v>
      </c>
      <c r="BQ41" s="8">
        <f t="shared" si="127"/>
        <v>0</v>
      </c>
      <c r="BR41" s="8">
        <v>0</v>
      </c>
      <c r="BS41" s="6">
        <f>(BR41/$BJ$4)*100</f>
        <v>0</v>
      </c>
      <c r="BT41" s="8">
        <v>0</v>
      </c>
      <c r="BU41" s="6">
        <f t="shared" ref="BU41:BU42" si="594">(BK41/$BJ$4)*100</f>
        <v>0</v>
      </c>
      <c r="BV41" s="6">
        <f t="shared" si="460"/>
        <v>0</v>
      </c>
      <c r="BW41" s="6">
        <f t="shared" si="461"/>
        <v>100</v>
      </c>
      <c r="BX41" s="6">
        <f t="shared" ref="BX41:BX42" si="595">(BZ41/($BJ$4*CA41))*100</f>
        <v>0</v>
      </c>
      <c r="BY41" s="6">
        <f>SUM(BL41:BN41,BP41,BR41)</f>
        <v>744</v>
      </c>
      <c r="BZ41" s="8">
        <v>0</v>
      </c>
      <c r="CA41" s="8">
        <v>21</v>
      </c>
      <c r="CC41" s="74" t="s">
        <v>44</v>
      </c>
      <c r="CD41" s="37" t="s">
        <v>52</v>
      </c>
      <c r="CE41" s="8">
        <v>0</v>
      </c>
      <c r="CF41" s="8">
        <v>0</v>
      </c>
      <c r="CG41" s="8">
        <v>0</v>
      </c>
      <c r="CH41" s="8">
        <v>720</v>
      </c>
      <c r="CI41" s="8">
        <f t="shared" ref="CI41:CI42" si="596">(CH41/$CD$4)*100</f>
        <v>100</v>
      </c>
      <c r="CJ41" s="8">
        <v>0</v>
      </c>
      <c r="CK41" s="8">
        <f t="shared" ref="CK41:CK42" si="597">(CJ41/$CD$4)*100</f>
        <v>0</v>
      </c>
      <c r="CL41" s="6">
        <v>0</v>
      </c>
      <c r="CM41" s="6">
        <f>(CL41/$CD$4)*100</f>
        <v>0</v>
      </c>
      <c r="CN41" s="8">
        <v>0</v>
      </c>
      <c r="CO41" s="6">
        <f>(CE41/$CD$4)*100</f>
        <v>0</v>
      </c>
      <c r="CP41" s="6">
        <f t="shared" si="132"/>
        <v>0</v>
      </c>
      <c r="CQ41" s="18">
        <f t="shared" si="415"/>
        <v>100</v>
      </c>
      <c r="CR41" s="6">
        <f t="shared" ref="CR41:CR42" si="598">(CT41/($CD$4*CU41))*100</f>
        <v>0</v>
      </c>
      <c r="CS41" s="6">
        <f>SUM(CF41:CH41,CJ41,CL41)</f>
        <v>720</v>
      </c>
      <c r="CT41" s="8">
        <v>0</v>
      </c>
      <c r="CU41" s="8">
        <v>21</v>
      </c>
      <c r="CW41" s="74" t="s">
        <v>44</v>
      </c>
      <c r="CX41" s="37" t="s">
        <v>52</v>
      </c>
      <c r="CY41" s="8">
        <v>0</v>
      </c>
      <c r="CZ41" s="8">
        <v>0</v>
      </c>
      <c r="DA41" s="8">
        <v>0</v>
      </c>
      <c r="DB41" s="8">
        <v>744</v>
      </c>
      <c r="DC41" s="6">
        <f t="shared" si="416"/>
        <v>100</v>
      </c>
      <c r="DD41" s="8">
        <v>0</v>
      </c>
      <c r="DE41" s="6">
        <f t="shared" si="417"/>
        <v>0</v>
      </c>
      <c r="DF41" s="6">
        <v>0</v>
      </c>
      <c r="DG41" s="6">
        <f>(DF41/$CX$4)*100</f>
        <v>0</v>
      </c>
      <c r="DH41" s="8">
        <v>0</v>
      </c>
      <c r="DI41" s="6">
        <f>(CY41/$V$4)*100</f>
        <v>0</v>
      </c>
      <c r="DJ41" s="6">
        <f t="shared" si="464"/>
        <v>0</v>
      </c>
      <c r="DK41" s="18">
        <f t="shared" si="465"/>
        <v>100</v>
      </c>
      <c r="DL41" s="6">
        <f>(DN41/($CX$4*DO41))*100</f>
        <v>0</v>
      </c>
      <c r="DM41" s="6">
        <f>SUM(CZ41:DB41,DD41,DF41)</f>
        <v>744</v>
      </c>
      <c r="DN41" s="8">
        <v>0</v>
      </c>
      <c r="DO41" s="8">
        <v>21</v>
      </c>
      <c r="DQ41" s="74" t="s">
        <v>44</v>
      </c>
      <c r="DR41" s="37" t="s">
        <v>52</v>
      </c>
      <c r="DS41" s="8">
        <v>0</v>
      </c>
      <c r="DT41" s="8">
        <v>0</v>
      </c>
      <c r="DU41" s="8">
        <v>0</v>
      </c>
      <c r="DV41" s="8">
        <v>744</v>
      </c>
      <c r="DW41" s="6">
        <f t="shared" si="420"/>
        <v>100</v>
      </c>
      <c r="DX41" s="8">
        <v>0</v>
      </c>
      <c r="DY41" s="6">
        <f t="shared" si="421"/>
        <v>0</v>
      </c>
      <c r="DZ41" s="6">
        <v>0</v>
      </c>
      <c r="EA41" s="6">
        <f>(DZ41/$DR$4)*100</f>
        <v>0</v>
      </c>
      <c r="EB41" s="8">
        <v>0</v>
      </c>
      <c r="EC41" s="6">
        <f>(DS41/$V$4)*100</f>
        <v>0</v>
      </c>
      <c r="ED41" s="6">
        <f t="shared" si="467"/>
        <v>0</v>
      </c>
      <c r="EE41" s="18">
        <f t="shared" si="468"/>
        <v>100</v>
      </c>
      <c r="EF41" s="6">
        <f>(EH41/($DR$4*EI41))*100</f>
        <v>0</v>
      </c>
      <c r="EG41" s="6">
        <f>SUM(DT41:DV41,DX41,DZ41)</f>
        <v>744</v>
      </c>
      <c r="EH41" s="8">
        <v>0</v>
      </c>
      <c r="EI41" s="8">
        <v>21</v>
      </c>
      <c r="EK41" s="74" t="s">
        <v>44</v>
      </c>
      <c r="EL41" s="37" t="s">
        <v>52</v>
      </c>
      <c r="EM41" s="8">
        <v>0</v>
      </c>
      <c r="EN41" s="8">
        <v>0</v>
      </c>
      <c r="EO41" s="8">
        <v>0</v>
      </c>
      <c r="EP41" s="8">
        <v>672</v>
      </c>
      <c r="EQ41" s="6">
        <f t="shared" si="424"/>
        <v>100</v>
      </c>
      <c r="ER41" s="8">
        <v>0</v>
      </c>
      <c r="ES41" s="6">
        <f t="shared" si="425"/>
        <v>0</v>
      </c>
      <c r="ET41" s="6">
        <v>0</v>
      </c>
      <c r="EU41" s="6">
        <f>(ET41/$EL$4)*100</f>
        <v>0</v>
      </c>
      <c r="EV41" s="8">
        <v>0</v>
      </c>
      <c r="EW41" s="6">
        <f>(EM41/$V$4)*100</f>
        <v>0</v>
      </c>
      <c r="EX41" s="6">
        <f t="shared" si="469"/>
        <v>0</v>
      </c>
      <c r="EY41" s="18">
        <f t="shared" si="470"/>
        <v>100</v>
      </c>
      <c r="EZ41" s="6">
        <f t="shared" ref="EZ41:EZ42" si="599">(FB41/($EL$4*FC41))*100</f>
        <v>0</v>
      </c>
      <c r="FA41" s="6">
        <f>SUM(EN41:EP41,ER41,ET41)</f>
        <v>672</v>
      </c>
      <c r="FB41" s="8">
        <v>0</v>
      </c>
      <c r="FC41" s="8">
        <v>21</v>
      </c>
      <c r="FE41" s="74" t="s">
        <v>44</v>
      </c>
      <c r="FF41" s="37" t="s">
        <v>52</v>
      </c>
      <c r="FG41" s="8">
        <v>0</v>
      </c>
      <c r="FH41" s="8">
        <v>0</v>
      </c>
      <c r="FI41" s="8">
        <v>0</v>
      </c>
      <c r="FJ41" s="8">
        <v>744</v>
      </c>
      <c r="FK41" s="6">
        <f t="shared" si="439"/>
        <v>100</v>
      </c>
      <c r="FL41" s="8">
        <v>0</v>
      </c>
      <c r="FM41" s="6">
        <f t="shared" si="440"/>
        <v>0</v>
      </c>
      <c r="FN41" s="6">
        <v>0</v>
      </c>
      <c r="FO41" s="6">
        <f t="shared" ref="FO41:FO42" si="600">(FN41/$FF$4)*100</f>
        <v>0</v>
      </c>
      <c r="FP41" s="8">
        <v>0</v>
      </c>
      <c r="FQ41" s="6">
        <f>(FG41/$V$4)*100</f>
        <v>0</v>
      </c>
      <c r="FR41" s="6">
        <f t="shared" si="473"/>
        <v>0</v>
      </c>
      <c r="FS41" s="18">
        <f t="shared" si="474"/>
        <v>100</v>
      </c>
      <c r="FT41" s="6">
        <f>(FV41/($FF$4*FW41))*100</f>
        <v>0</v>
      </c>
      <c r="FU41" s="6">
        <f>SUM(FH41:FJ41,FL41,FN41)</f>
        <v>744</v>
      </c>
      <c r="FV41" s="8">
        <v>0</v>
      </c>
      <c r="FW41" s="8">
        <v>21</v>
      </c>
      <c r="FY41" s="74" t="s">
        <v>44</v>
      </c>
      <c r="FZ41" s="37" t="s">
        <v>52</v>
      </c>
      <c r="GA41" s="8">
        <v>0</v>
      </c>
      <c r="GB41" s="8">
        <v>0</v>
      </c>
      <c r="GC41" s="8">
        <v>0</v>
      </c>
      <c r="GD41" s="8">
        <v>720</v>
      </c>
      <c r="GE41" s="8">
        <f>(GD41/$FZ$4)</f>
        <v>1</v>
      </c>
      <c r="GF41" s="8">
        <v>0</v>
      </c>
      <c r="GG41" s="8">
        <f t="shared" si="431"/>
        <v>0</v>
      </c>
      <c r="GH41" s="8">
        <v>0</v>
      </c>
      <c r="GI41" s="6">
        <f>(GH41/$FZ$4)*100</f>
        <v>0</v>
      </c>
      <c r="GJ41" s="8">
        <v>0</v>
      </c>
      <c r="GK41" s="6">
        <f>(GA41/$V$4)*100</f>
        <v>0</v>
      </c>
      <c r="GL41" s="6">
        <f t="shared" si="530"/>
        <v>0</v>
      </c>
      <c r="GM41" s="6">
        <f t="shared" si="531"/>
        <v>100</v>
      </c>
      <c r="GN41" s="6">
        <f>(GP41/($FZ$4*GQ41))*100</f>
        <v>0</v>
      </c>
      <c r="GO41" s="6">
        <f>SUM(GB41:GD41,GF41,GH41)</f>
        <v>720</v>
      </c>
      <c r="GP41" s="8">
        <v>0</v>
      </c>
      <c r="GQ41" s="8">
        <v>21</v>
      </c>
      <c r="GS41" s="74" t="s">
        <v>44</v>
      </c>
      <c r="GT41" s="37" t="s">
        <v>52</v>
      </c>
      <c r="GU41" s="8">
        <v>0</v>
      </c>
      <c r="GV41" s="8">
        <v>0</v>
      </c>
      <c r="GW41" s="8">
        <v>0</v>
      </c>
      <c r="GX41" s="8">
        <v>744</v>
      </c>
      <c r="GY41" s="8">
        <f t="shared" si="559"/>
        <v>100</v>
      </c>
      <c r="GZ41" s="8">
        <v>0</v>
      </c>
      <c r="HA41" s="8">
        <f t="shared" si="560"/>
        <v>0</v>
      </c>
      <c r="HB41" s="8">
        <v>0</v>
      </c>
      <c r="HC41" s="6">
        <f>(HB41/$GT$4)*100</f>
        <v>0</v>
      </c>
      <c r="HD41" s="8">
        <v>0</v>
      </c>
      <c r="HE41" s="6">
        <f>(GU41/$GT$4)*100</f>
        <v>0</v>
      </c>
      <c r="HF41" s="8">
        <f t="shared" si="396"/>
        <v>0</v>
      </c>
      <c r="HG41" s="8">
        <f t="shared" si="397"/>
        <v>100</v>
      </c>
      <c r="HH41" s="6">
        <f t="shared" ref="HH41:HH42" si="601">(HJ41/($GT$4*HK41))*100</f>
        <v>0</v>
      </c>
      <c r="HI41" s="6">
        <f>SUM(GV41:GX41,GZ41,HB41)</f>
        <v>744</v>
      </c>
      <c r="HJ41" s="8">
        <v>0</v>
      </c>
      <c r="HK41" s="8">
        <v>21</v>
      </c>
      <c r="HM41" s="74" t="s">
        <v>44</v>
      </c>
      <c r="HN41" s="37" t="s">
        <v>52</v>
      </c>
      <c r="HO41" s="8">
        <v>0</v>
      </c>
      <c r="HP41" s="8">
        <v>0</v>
      </c>
      <c r="HQ41" s="8">
        <v>0</v>
      </c>
      <c r="HR41" s="8">
        <v>720</v>
      </c>
      <c r="HS41" s="6">
        <f>(HR41/$HN$4)*100</f>
        <v>100</v>
      </c>
      <c r="HT41" s="8">
        <v>0</v>
      </c>
      <c r="HU41" s="6">
        <f>(HT41/$HN$4)*100</f>
        <v>0</v>
      </c>
      <c r="HV41" s="8">
        <v>0</v>
      </c>
      <c r="HW41" s="6">
        <f>(HV41/$HN$4)*100</f>
        <v>0</v>
      </c>
      <c r="HX41" s="8">
        <v>0</v>
      </c>
      <c r="HY41" s="6">
        <f>(HO41/$HN$4)*100</f>
        <v>0</v>
      </c>
      <c r="HZ41" s="21">
        <f>((HO41-HX41)/$HN$4)*100</f>
        <v>0</v>
      </c>
      <c r="IA41" s="21">
        <f t="shared" ref="IA41:IA42" si="602">IF((AND(HP41=0,HR41=0)),0,(HR41+HX41)/(HP41+HR41)*100)</f>
        <v>100</v>
      </c>
      <c r="IB41" s="6">
        <f>(ID41/($HN$4*IE41))*100</f>
        <v>0</v>
      </c>
      <c r="IC41" s="6">
        <f>SUM(HP41:HR41,HT41,HV41)</f>
        <v>720</v>
      </c>
      <c r="ID41" s="8">
        <v>0</v>
      </c>
      <c r="IE41" s="8">
        <v>21</v>
      </c>
      <c r="IF41" s="15">
        <v>0</v>
      </c>
    </row>
    <row r="42" spans="1:240" ht="14.25" x14ac:dyDescent="0.25">
      <c r="B42" s="37" t="s">
        <v>53</v>
      </c>
      <c r="C42" s="8">
        <v>0</v>
      </c>
      <c r="D42" s="8">
        <v>0</v>
      </c>
      <c r="E42" s="8">
        <v>0</v>
      </c>
      <c r="F42" s="8">
        <v>744</v>
      </c>
      <c r="G42" s="6">
        <f t="shared" si="339"/>
        <v>100</v>
      </c>
      <c r="H42" s="8">
        <v>0</v>
      </c>
      <c r="I42" s="6">
        <f t="shared" si="340"/>
        <v>0</v>
      </c>
      <c r="J42" s="6">
        <v>0</v>
      </c>
      <c r="K42" s="6">
        <f t="shared" si="524"/>
        <v>0</v>
      </c>
      <c r="L42" s="8">
        <v>0</v>
      </c>
      <c r="M42" s="8">
        <f t="shared" ref="M42" si="603">(C42/$B$4)*100</f>
        <v>0</v>
      </c>
      <c r="N42" s="8">
        <f t="shared" si="525"/>
        <v>0</v>
      </c>
      <c r="O42" s="8">
        <f t="shared" si="526"/>
        <v>100</v>
      </c>
      <c r="P42" s="6">
        <f t="shared" ref="P42" si="604">(R42/($B$4*S42))*100</f>
        <v>0</v>
      </c>
      <c r="Q42" s="6">
        <f t="shared" ref="Q42" si="605">SUM(D42:F42,H42,J42)</f>
        <v>744</v>
      </c>
      <c r="R42" s="8">
        <v>0</v>
      </c>
      <c r="S42" s="8">
        <v>21</v>
      </c>
      <c r="V42" s="37" t="s">
        <v>53</v>
      </c>
      <c r="W42" s="8">
        <v>0</v>
      </c>
      <c r="X42" s="8">
        <v>0</v>
      </c>
      <c r="Y42" s="8">
        <v>0</v>
      </c>
      <c r="Z42" s="8">
        <v>744</v>
      </c>
      <c r="AA42" s="8">
        <f t="shared" si="117"/>
        <v>100</v>
      </c>
      <c r="AB42" s="8">
        <v>0</v>
      </c>
      <c r="AC42" s="8">
        <f t="shared" si="118"/>
        <v>0</v>
      </c>
      <c r="AD42" s="8">
        <v>0</v>
      </c>
      <c r="AE42" s="6">
        <f t="shared" si="118"/>
        <v>0</v>
      </c>
      <c r="AF42" s="8">
        <v>0</v>
      </c>
      <c r="AG42" s="6">
        <f>(W42/$V$4)*100</f>
        <v>0</v>
      </c>
      <c r="AH42" s="8">
        <f t="shared" si="119"/>
        <v>0</v>
      </c>
      <c r="AI42" s="8">
        <f t="shared" si="120"/>
        <v>100</v>
      </c>
      <c r="AJ42" s="6">
        <f t="shared" ref="AJ42" si="606">(AL42/($V$4*AM42))*100</f>
        <v>0</v>
      </c>
      <c r="AK42" s="6">
        <f t="shared" ref="AK42" si="607">SUM(X42:Z42,AB42,AD42)</f>
        <v>744</v>
      </c>
      <c r="AL42" s="8">
        <v>0</v>
      </c>
      <c r="AM42" s="8">
        <v>21</v>
      </c>
      <c r="AP42" s="37" t="s">
        <v>53</v>
      </c>
      <c r="AQ42" s="8">
        <v>0</v>
      </c>
      <c r="AR42" s="8">
        <v>0</v>
      </c>
      <c r="AS42" s="8">
        <v>0</v>
      </c>
      <c r="AT42" s="8">
        <v>720</v>
      </c>
      <c r="AU42" s="8">
        <f t="shared" si="121"/>
        <v>100</v>
      </c>
      <c r="AV42" s="8">
        <v>0</v>
      </c>
      <c r="AW42" s="8">
        <f t="shared" si="122"/>
        <v>0</v>
      </c>
      <c r="AX42" s="8">
        <v>0</v>
      </c>
      <c r="AY42" s="6">
        <f>(AX42/$AP$4)*100</f>
        <v>0</v>
      </c>
      <c r="AZ42" s="8">
        <v>0</v>
      </c>
      <c r="BA42" s="6">
        <f t="shared" ref="BA42" si="608">(AQ42/$AP$4)*100</f>
        <v>0</v>
      </c>
      <c r="BB42" s="6">
        <f t="shared" si="456"/>
        <v>0</v>
      </c>
      <c r="BC42" s="15">
        <f t="shared" si="457"/>
        <v>100</v>
      </c>
      <c r="BD42" s="6">
        <f t="shared" si="593"/>
        <v>0</v>
      </c>
      <c r="BE42" s="6">
        <f t="shared" ref="BE42" si="609">SUM(AR42:AT42,AV42,AX42)</f>
        <v>720</v>
      </c>
      <c r="BF42" s="8">
        <v>0</v>
      </c>
      <c r="BG42" s="8">
        <v>21</v>
      </c>
      <c r="BJ42" s="37" t="s">
        <v>53</v>
      </c>
      <c r="BK42" s="8">
        <v>0</v>
      </c>
      <c r="BL42" s="8">
        <v>0</v>
      </c>
      <c r="BM42" s="8">
        <v>0</v>
      </c>
      <c r="BN42" s="8">
        <v>744</v>
      </c>
      <c r="BO42" s="6">
        <f t="shared" si="126"/>
        <v>100</v>
      </c>
      <c r="BP42" s="8">
        <v>0</v>
      </c>
      <c r="BQ42" s="8">
        <f t="shared" si="127"/>
        <v>0</v>
      </c>
      <c r="BR42" s="8">
        <v>0</v>
      </c>
      <c r="BS42" s="6">
        <f>(BR42/$BJ$4)*100</f>
        <v>0</v>
      </c>
      <c r="BT42" s="8">
        <v>0</v>
      </c>
      <c r="BU42" s="6">
        <f t="shared" si="594"/>
        <v>0</v>
      </c>
      <c r="BV42" s="6">
        <f t="shared" si="460"/>
        <v>0</v>
      </c>
      <c r="BW42" s="6">
        <f t="shared" si="461"/>
        <v>100</v>
      </c>
      <c r="BX42" s="6">
        <f t="shared" si="595"/>
        <v>0</v>
      </c>
      <c r="BY42" s="6">
        <f t="shared" ref="BY42" si="610">SUM(BL42:BN42,BP42,BR42)</f>
        <v>744</v>
      </c>
      <c r="BZ42" s="8">
        <v>0</v>
      </c>
      <c r="CA42" s="8">
        <v>21</v>
      </c>
      <c r="CD42" s="37" t="s">
        <v>53</v>
      </c>
      <c r="CE42" s="8">
        <v>0</v>
      </c>
      <c r="CF42" s="8">
        <v>0</v>
      </c>
      <c r="CG42" s="8">
        <v>0</v>
      </c>
      <c r="CH42" s="8">
        <v>720</v>
      </c>
      <c r="CI42" s="6">
        <f t="shared" si="596"/>
        <v>100</v>
      </c>
      <c r="CJ42" s="8">
        <v>0</v>
      </c>
      <c r="CK42" s="8">
        <f t="shared" si="597"/>
        <v>0</v>
      </c>
      <c r="CL42" s="6">
        <v>0</v>
      </c>
      <c r="CM42" s="6">
        <f t="shared" ref="CM42" si="611">(CL42/$CD$4)*100</f>
        <v>0</v>
      </c>
      <c r="CN42" s="8">
        <v>0</v>
      </c>
      <c r="CO42" s="6">
        <f>(CE42/$CD$4)*100</f>
        <v>0</v>
      </c>
      <c r="CP42" s="6">
        <f t="shared" si="132"/>
        <v>0</v>
      </c>
      <c r="CQ42" s="18">
        <f t="shared" si="415"/>
        <v>100</v>
      </c>
      <c r="CR42" s="6">
        <f t="shared" si="598"/>
        <v>0</v>
      </c>
      <c r="CS42" s="6">
        <f t="shared" ref="CS42" si="612">SUM(CF42:CH42,CJ42,CL42)</f>
        <v>720</v>
      </c>
      <c r="CT42" s="8">
        <v>0</v>
      </c>
      <c r="CU42" s="8">
        <v>21</v>
      </c>
      <c r="CX42" s="37" t="s">
        <v>53</v>
      </c>
      <c r="CY42" s="8">
        <v>0</v>
      </c>
      <c r="CZ42" s="8">
        <v>0</v>
      </c>
      <c r="DA42" s="8">
        <v>0</v>
      </c>
      <c r="DB42" s="8">
        <v>744</v>
      </c>
      <c r="DC42" s="6">
        <f t="shared" si="416"/>
        <v>100</v>
      </c>
      <c r="DD42" s="8">
        <v>0</v>
      </c>
      <c r="DE42" s="6">
        <f t="shared" si="417"/>
        <v>0</v>
      </c>
      <c r="DF42" s="6">
        <v>0</v>
      </c>
      <c r="DG42" s="6">
        <f t="shared" ref="DG42" si="613">(DF42/$CX$4)*100</f>
        <v>0</v>
      </c>
      <c r="DH42" s="8">
        <v>0</v>
      </c>
      <c r="DI42" s="6">
        <f>(CY42/$V$4)*100</f>
        <v>0</v>
      </c>
      <c r="DJ42" s="6">
        <f t="shared" si="464"/>
        <v>0</v>
      </c>
      <c r="DK42" s="18">
        <f t="shared" si="465"/>
        <v>100</v>
      </c>
      <c r="DL42" s="6">
        <f t="shared" ref="DL42" si="614">(DN42/($CX$4*DO42))*100</f>
        <v>0</v>
      </c>
      <c r="DM42" s="6">
        <f t="shared" ref="DM42" si="615">SUM(CZ42:DB42,DD42,DF42)</f>
        <v>744</v>
      </c>
      <c r="DN42" s="8">
        <v>0</v>
      </c>
      <c r="DO42" s="8">
        <v>21</v>
      </c>
      <c r="DR42" s="37" t="s">
        <v>53</v>
      </c>
      <c r="DS42" s="8">
        <v>0</v>
      </c>
      <c r="DT42" s="8">
        <v>0</v>
      </c>
      <c r="DU42" s="8">
        <v>0</v>
      </c>
      <c r="DV42" s="8">
        <v>744</v>
      </c>
      <c r="DW42" s="6">
        <f t="shared" si="420"/>
        <v>100</v>
      </c>
      <c r="DX42" s="8">
        <v>0</v>
      </c>
      <c r="DY42" s="6">
        <f t="shared" si="421"/>
        <v>0</v>
      </c>
      <c r="DZ42" s="6">
        <v>0</v>
      </c>
      <c r="EA42" s="6">
        <f>(DZ42/$DR$4)*100</f>
        <v>0</v>
      </c>
      <c r="EB42" s="8">
        <v>0</v>
      </c>
      <c r="EC42" s="6">
        <f>(DS42/$V$4)*100</f>
        <v>0</v>
      </c>
      <c r="ED42" s="6">
        <f t="shared" si="467"/>
        <v>0</v>
      </c>
      <c r="EE42" s="18">
        <f t="shared" si="468"/>
        <v>100</v>
      </c>
      <c r="EF42" s="6">
        <f t="shared" ref="EF42" si="616">(EH42/($DR$4*EI42))*100</f>
        <v>0</v>
      </c>
      <c r="EG42" s="6">
        <f t="shared" ref="EG42" si="617">SUM(DT42:DV42,DX42,DZ42)</f>
        <v>744</v>
      </c>
      <c r="EH42" s="8">
        <v>0</v>
      </c>
      <c r="EI42" s="8">
        <v>21</v>
      </c>
      <c r="EL42" s="37" t="s">
        <v>53</v>
      </c>
      <c r="EM42" s="8">
        <v>0</v>
      </c>
      <c r="EN42" s="8">
        <v>0</v>
      </c>
      <c r="EO42" s="8">
        <v>0</v>
      </c>
      <c r="EP42" s="8">
        <v>672</v>
      </c>
      <c r="EQ42" s="6">
        <f t="shared" si="424"/>
        <v>100</v>
      </c>
      <c r="ER42" s="8">
        <v>0</v>
      </c>
      <c r="ES42" s="6">
        <f t="shared" si="425"/>
        <v>0</v>
      </c>
      <c r="ET42" s="6">
        <v>0</v>
      </c>
      <c r="EU42" s="6">
        <f>(ET42/$EL$4)*100</f>
        <v>0</v>
      </c>
      <c r="EV42" s="8">
        <v>0</v>
      </c>
      <c r="EW42" s="6">
        <f>(EM42/$V$4)*100</f>
        <v>0</v>
      </c>
      <c r="EX42" s="6">
        <f t="shared" si="469"/>
        <v>0</v>
      </c>
      <c r="EY42" s="18">
        <f t="shared" si="470"/>
        <v>100</v>
      </c>
      <c r="EZ42" s="6">
        <f t="shared" si="599"/>
        <v>0</v>
      </c>
      <c r="FA42" s="6">
        <f t="shared" ref="FA42" si="618">SUM(EN42:EP42,ER42,ET42)</f>
        <v>672</v>
      </c>
      <c r="FB42" s="8">
        <v>0</v>
      </c>
      <c r="FC42" s="8">
        <v>21</v>
      </c>
      <c r="FF42" s="37" t="s">
        <v>53</v>
      </c>
      <c r="FG42" s="8">
        <v>0</v>
      </c>
      <c r="FH42" s="8">
        <v>0</v>
      </c>
      <c r="FI42" s="8">
        <v>0</v>
      </c>
      <c r="FJ42" s="8">
        <v>744</v>
      </c>
      <c r="FK42" s="6">
        <f t="shared" si="439"/>
        <v>100</v>
      </c>
      <c r="FL42" s="8">
        <v>0</v>
      </c>
      <c r="FM42" s="6">
        <f t="shared" si="440"/>
        <v>0</v>
      </c>
      <c r="FN42" s="6">
        <v>0</v>
      </c>
      <c r="FO42" s="6">
        <f t="shared" si="600"/>
        <v>0</v>
      </c>
      <c r="FP42" s="8">
        <v>0</v>
      </c>
      <c r="FQ42" s="6">
        <f>(FG42/$V$4)*100</f>
        <v>0</v>
      </c>
      <c r="FR42" s="6">
        <f t="shared" si="473"/>
        <v>0</v>
      </c>
      <c r="FS42" s="18">
        <f t="shared" si="474"/>
        <v>100</v>
      </c>
      <c r="FT42" s="6">
        <f t="shared" ref="FT42" si="619">(FV42/($FF$4*FW42))*100</f>
        <v>0</v>
      </c>
      <c r="FU42" s="6">
        <f t="shared" ref="FU42" si="620">SUM(FH42:FJ42,FL42,FN42)</f>
        <v>744</v>
      </c>
      <c r="FV42" s="8">
        <v>0</v>
      </c>
      <c r="FW42" s="8">
        <v>21</v>
      </c>
      <c r="FZ42" s="37" t="s">
        <v>53</v>
      </c>
      <c r="GA42" s="8">
        <v>0</v>
      </c>
      <c r="GB42" s="8">
        <v>0</v>
      </c>
      <c r="GC42" s="8">
        <v>0</v>
      </c>
      <c r="GD42" s="8">
        <v>720</v>
      </c>
      <c r="GE42" s="8">
        <f>(GD42/$FZ$4)</f>
        <v>1</v>
      </c>
      <c r="GF42" s="8">
        <v>0</v>
      </c>
      <c r="GG42" s="8">
        <f t="shared" si="431"/>
        <v>0</v>
      </c>
      <c r="GH42" s="8">
        <v>0</v>
      </c>
      <c r="GI42" s="6">
        <f t="shared" ref="GI42" si="621">(GH42/$FZ$4)*100</f>
        <v>0</v>
      </c>
      <c r="GJ42" s="8">
        <v>0</v>
      </c>
      <c r="GK42" s="6">
        <f>(GA42/$V$4)*100</f>
        <v>0</v>
      </c>
      <c r="GL42" s="8">
        <f t="shared" si="530"/>
        <v>0</v>
      </c>
      <c r="GM42" s="6">
        <f t="shared" si="531"/>
        <v>100</v>
      </c>
      <c r="GN42" s="6">
        <f>(GP42/($FZ$4*GQ42))*100</f>
        <v>0</v>
      </c>
      <c r="GO42" s="6">
        <f t="shared" ref="GO42" si="622">SUM(GB42:GD42,GF42,GH42)</f>
        <v>720</v>
      </c>
      <c r="GP42" s="8">
        <v>0</v>
      </c>
      <c r="GQ42" s="8">
        <v>21</v>
      </c>
      <c r="GT42" s="37" t="s">
        <v>53</v>
      </c>
      <c r="GU42" s="8">
        <v>0</v>
      </c>
      <c r="GV42" s="8">
        <v>0</v>
      </c>
      <c r="GW42" s="8">
        <v>0</v>
      </c>
      <c r="GX42" s="8">
        <v>744</v>
      </c>
      <c r="GY42" s="8">
        <f t="shared" si="559"/>
        <v>100</v>
      </c>
      <c r="GZ42" s="8">
        <v>0</v>
      </c>
      <c r="HA42" s="8">
        <f t="shared" si="560"/>
        <v>0</v>
      </c>
      <c r="HB42" s="8">
        <v>0</v>
      </c>
      <c r="HC42" s="6">
        <f t="shared" ref="HC42" si="623">(HB42/$GT$4)*100</f>
        <v>0</v>
      </c>
      <c r="HD42" s="8">
        <v>0</v>
      </c>
      <c r="HE42" s="6">
        <f>(GU42/$GT$4)*100</f>
        <v>0</v>
      </c>
      <c r="HF42" s="8">
        <f t="shared" si="396"/>
        <v>0</v>
      </c>
      <c r="HG42" s="8">
        <f t="shared" si="397"/>
        <v>100</v>
      </c>
      <c r="HH42" s="6">
        <f t="shared" si="601"/>
        <v>0</v>
      </c>
      <c r="HI42" s="6">
        <f t="shared" ref="HI42" si="624">SUM(GV42:GX42,GZ42,HB42)</f>
        <v>744</v>
      </c>
      <c r="HJ42" s="8">
        <v>0</v>
      </c>
      <c r="HK42" s="8">
        <v>21</v>
      </c>
      <c r="HN42" s="37" t="s">
        <v>53</v>
      </c>
      <c r="HO42" s="8">
        <v>0</v>
      </c>
      <c r="HP42" s="8">
        <v>0</v>
      </c>
      <c r="HQ42" s="8">
        <v>0</v>
      </c>
      <c r="HR42" s="8">
        <v>720</v>
      </c>
      <c r="HS42" s="6">
        <f t="shared" ref="HS42" si="625">(HR42/$HN$4)*100</f>
        <v>100</v>
      </c>
      <c r="HT42" s="8">
        <v>0</v>
      </c>
      <c r="HU42" s="6">
        <f t="shared" ref="HU42" si="626">(HT42/$HN$4)*100</f>
        <v>0</v>
      </c>
      <c r="HV42" s="8">
        <v>0</v>
      </c>
      <c r="HW42" s="6">
        <f t="shared" ref="HW42" si="627">(HV42/$HN$4)*100</f>
        <v>0</v>
      </c>
      <c r="HX42" s="8">
        <v>0</v>
      </c>
      <c r="HY42" s="6">
        <f>(HO42/$HN$4)*100</f>
        <v>0</v>
      </c>
      <c r="HZ42" s="21">
        <f>((HO42-HX42)/$HN$4)*100</f>
        <v>0</v>
      </c>
      <c r="IA42" s="6">
        <f t="shared" si="602"/>
        <v>100</v>
      </c>
      <c r="IB42" s="6">
        <f>(ID42/($HN$4*IE42))*100</f>
        <v>0</v>
      </c>
      <c r="IC42" s="6">
        <f t="shared" ref="IC42" si="628">SUM(HP42:HR42,HT42,HV42)</f>
        <v>720</v>
      </c>
      <c r="ID42" s="8">
        <v>0</v>
      </c>
      <c r="IE42" s="8">
        <v>21</v>
      </c>
      <c r="IF42" s="15">
        <v>0</v>
      </c>
    </row>
    <row r="43" spans="1:240" ht="15" x14ac:dyDescent="0.25">
      <c r="B43" s="24" t="s">
        <v>39</v>
      </c>
      <c r="C43" s="25">
        <f>SUM(C41:C42)</f>
        <v>0</v>
      </c>
      <c r="D43" s="25">
        <f t="shared" ref="D43:F43" si="629">SUM(D41:D42)</f>
        <v>0</v>
      </c>
      <c r="E43" s="25">
        <f>SUM(E41:E42)</f>
        <v>0</v>
      </c>
      <c r="F43" s="25">
        <f t="shared" si="629"/>
        <v>1488</v>
      </c>
      <c r="G43" s="26">
        <f>(G41*S41+G42*S42)/S43</f>
        <v>100</v>
      </c>
      <c r="H43" s="25">
        <f t="shared" ref="H43" si="630">SUM(H41:H42)</f>
        <v>0</v>
      </c>
      <c r="I43" s="26">
        <f>(I41*S41+I42*S42)/S43</f>
        <v>0</v>
      </c>
      <c r="J43" s="26">
        <f>SUM(J41:J42)</f>
        <v>0</v>
      </c>
      <c r="K43" s="30">
        <f>(K41*S41+K42*S42)/S43</f>
        <v>0</v>
      </c>
      <c r="L43" s="25">
        <f t="shared" ref="L43" si="631">SUM(L41:L42)</f>
        <v>0</v>
      </c>
      <c r="M43" s="26">
        <f>(M41*S41+M42*S42)/S43</f>
        <v>0</v>
      </c>
      <c r="N43" s="7">
        <f>(N41*S41+N42*S42)/S43</f>
        <v>0</v>
      </c>
      <c r="O43" s="7">
        <f>(O41*S41+O42*S42)/S43</f>
        <v>100</v>
      </c>
      <c r="P43" s="7">
        <f>(P41*S41+P42*S42)/S43</f>
        <v>0</v>
      </c>
      <c r="Q43" s="30">
        <f>SUM(Q41:Q42)</f>
        <v>1488</v>
      </c>
      <c r="R43" s="25">
        <f>SUM(R41:R42)</f>
        <v>0</v>
      </c>
      <c r="S43" s="25">
        <f>SUM(S41:S42)</f>
        <v>42</v>
      </c>
      <c r="V43" s="32" t="s">
        <v>39</v>
      </c>
      <c r="W43" s="29">
        <f>SUM(W41:W42)</f>
        <v>0</v>
      </c>
      <c r="X43" s="29">
        <f t="shared" ref="X43" si="632">SUM(X41:X42)</f>
        <v>0</v>
      </c>
      <c r="Y43" s="29">
        <f>SUM(Y41:Y42)</f>
        <v>0</v>
      </c>
      <c r="Z43" s="29">
        <f t="shared" ref="Z43" si="633">SUM(Z41:Z42)</f>
        <v>1488</v>
      </c>
      <c r="AA43" s="30">
        <f>(AA41*AM41+AA42*AM42)/AM43</f>
        <v>100</v>
      </c>
      <c r="AB43" s="29">
        <f>SUM(AB41:AB42)</f>
        <v>0</v>
      </c>
      <c r="AC43" s="30">
        <f>(AC41*AM41+AC42*AM42)/AM43</f>
        <v>0</v>
      </c>
      <c r="AD43" s="30">
        <f>SUM(AD41:AD42)</f>
        <v>0</v>
      </c>
      <c r="AE43" s="30">
        <f>(AE41*AM41+AE42*AM42)/AM43</f>
        <v>0</v>
      </c>
      <c r="AF43" s="29">
        <f>SUM(AF41:AF42)</f>
        <v>0</v>
      </c>
      <c r="AG43" s="26">
        <f>(AG41*AM41+AG42*AM42)/AM43</f>
        <v>0</v>
      </c>
      <c r="AH43" s="30">
        <f>(AH41*AM41+AH42*AM42)/AM43</f>
        <v>0</v>
      </c>
      <c r="AI43" s="30">
        <f>(AI41*AM41+AI42*AM42)/AM43</f>
        <v>100</v>
      </c>
      <c r="AJ43" s="7">
        <f>(AJ41*AM41+AJ42*AM42)/AM43</f>
        <v>0</v>
      </c>
      <c r="AK43" s="30">
        <f>SUM(AK41:AK42)</f>
        <v>1488</v>
      </c>
      <c r="AL43" s="29">
        <f>SUM(AL41:AL42)</f>
        <v>0</v>
      </c>
      <c r="AM43" s="29">
        <f>SUM(AM41:AM42)</f>
        <v>42</v>
      </c>
      <c r="AP43" s="32" t="s">
        <v>39</v>
      </c>
      <c r="AQ43" s="29">
        <f>SUM(AQ41:AQ42)</f>
        <v>0</v>
      </c>
      <c r="AR43" s="29">
        <f t="shared" ref="AR43:AT43" si="634">SUM(AR41:AR42)</f>
        <v>0</v>
      </c>
      <c r="AS43" s="29">
        <f>SUM(AS41:AS42)</f>
        <v>0</v>
      </c>
      <c r="AT43" s="29">
        <f t="shared" si="634"/>
        <v>1440</v>
      </c>
      <c r="AU43" s="30">
        <f>(AU41*BG41+AU42*BG42)/BG43</f>
        <v>100</v>
      </c>
      <c r="AV43" s="29">
        <f>SUM(AV41:AV42)</f>
        <v>0</v>
      </c>
      <c r="AW43" s="30">
        <f>(AW41*BG41+AW42*BG42)/BG43</f>
        <v>0</v>
      </c>
      <c r="AX43" s="30">
        <f>SUM(AX41:AX42)</f>
        <v>0</v>
      </c>
      <c r="AY43" s="30">
        <f>(AY41*BG41+AY42*BG42)/BG43</f>
        <v>0</v>
      </c>
      <c r="AZ43" s="29">
        <f>SUM(AZ41:AZ42)</f>
        <v>0</v>
      </c>
      <c r="BA43" s="26">
        <f>(BA41*BG41+BA42*BG42)/BG43</f>
        <v>0</v>
      </c>
      <c r="BB43" s="30">
        <f>(BB41*BG41+BB42*BG42)/BG43</f>
        <v>0</v>
      </c>
      <c r="BC43" s="30">
        <f>(BC41*BG41+BC42*BG42)/BG43</f>
        <v>100</v>
      </c>
      <c r="BD43" s="7">
        <f>(BD41*BG41+BD42*BG42)/BG43</f>
        <v>0</v>
      </c>
      <c r="BE43" s="30">
        <f>SUM(BE41:BE42)</f>
        <v>1440</v>
      </c>
      <c r="BF43" s="29">
        <f>SUM(BF41:BF42)</f>
        <v>0</v>
      </c>
      <c r="BG43" s="29">
        <f>SUM(BG41:BG42)</f>
        <v>42</v>
      </c>
      <c r="BJ43" s="32" t="s">
        <v>39</v>
      </c>
      <c r="BK43" s="29">
        <f>SUM(BK41:BK42)</f>
        <v>0</v>
      </c>
      <c r="BL43" s="29">
        <f t="shared" ref="BL43:BN43" si="635">SUM(BL41:BL42)</f>
        <v>0</v>
      </c>
      <c r="BM43" s="29">
        <f>SUM(BM41:BM42)</f>
        <v>0</v>
      </c>
      <c r="BN43" s="29">
        <f t="shared" si="635"/>
        <v>1488</v>
      </c>
      <c r="BO43" s="30">
        <f>(BO41*CA41+BO42*CA42)/CA43</f>
        <v>100</v>
      </c>
      <c r="BP43" s="29">
        <f>SUM(BP41:BP42)</f>
        <v>0</v>
      </c>
      <c r="BQ43" s="30">
        <f>(BQ41*CA41+BQ42*CA42)/CA43</f>
        <v>0</v>
      </c>
      <c r="BR43" s="30">
        <f>SUM(BR41:BR42)</f>
        <v>0</v>
      </c>
      <c r="BS43" s="30">
        <f>(BS41*CA41+BS42*CA42)/CA43</f>
        <v>0</v>
      </c>
      <c r="BT43" s="29">
        <f>SUM(BT41:BT42)</f>
        <v>0</v>
      </c>
      <c r="BU43" s="26">
        <f>(BU41*CA41+BU42*CA42)/CA43</f>
        <v>0</v>
      </c>
      <c r="BV43" s="30">
        <f>(BV41*CA41+BV42*CA42)/CA43</f>
        <v>0</v>
      </c>
      <c r="BW43" s="30">
        <f>(BW41*CA41+BW42*CA42)/CA43</f>
        <v>100</v>
      </c>
      <c r="BX43" s="7">
        <f>(BX41*CA41+BX42*CA42)/CA43</f>
        <v>0</v>
      </c>
      <c r="BY43" s="30">
        <f>SUM(BY41:BY42)</f>
        <v>1488</v>
      </c>
      <c r="BZ43" s="29">
        <f>SUM(BZ41:BZ42)</f>
        <v>0</v>
      </c>
      <c r="CA43" s="29">
        <f>SUM(CA41:CA42)</f>
        <v>42</v>
      </c>
      <c r="CD43" s="32" t="s">
        <v>39</v>
      </c>
      <c r="CE43" s="29">
        <f>SUM(CE41:CE42)</f>
        <v>0</v>
      </c>
      <c r="CF43" s="29">
        <f t="shared" ref="CF43:CH43" si="636">SUM(CF41:CF42)</f>
        <v>0</v>
      </c>
      <c r="CG43" s="25">
        <f>SUM(CG41:CG42)</f>
        <v>0</v>
      </c>
      <c r="CH43" s="29">
        <f t="shared" si="636"/>
        <v>1440</v>
      </c>
      <c r="CI43" s="30">
        <f>(CI41*CU41+CI42*CU42)/CU43</f>
        <v>100</v>
      </c>
      <c r="CJ43" s="29">
        <f>SUM(CJ41:CJ42)</f>
        <v>0</v>
      </c>
      <c r="CK43" s="30">
        <f>(CK41*CU41+CK42*CU42)/CU43</f>
        <v>0</v>
      </c>
      <c r="CL43" s="26">
        <f>SUM(CL41:CL42)</f>
        <v>0</v>
      </c>
      <c r="CM43" s="26">
        <f>(CM41*CU41+CM42*CU42)/CU43</f>
        <v>0</v>
      </c>
      <c r="CN43" s="29">
        <f>SUM(CN41:CN42)</f>
        <v>0</v>
      </c>
      <c r="CO43" s="26">
        <f>(CO41*CU41+CO42*CU42)/CU43</f>
        <v>0</v>
      </c>
      <c r="CP43" s="30">
        <f>(CP41*CU41+CP42*CU42)/CU43</f>
        <v>0</v>
      </c>
      <c r="CQ43" s="30">
        <f>(CQ41*CU41+CQ42*CU42)/CU43</f>
        <v>100</v>
      </c>
      <c r="CR43" s="7">
        <f>(CR41*CU41+CR42*CU42)/CU43</f>
        <v>0</v>
      </c>
      <c r="CS43" s="30">
        <f>SUM(CS41:CS42)</f>
        <v>1440</v>
      </c>
      <c r="CT43" s="29">
        <f>SUM(CT41:CT42)</f>
        <v>0</v>
      </c>
      <c r="CU43" s="29">
        <f>SUM(CU41:CU42)</f>
        <v>42</v>
      </c>
      <c r="CX43" s="24" t="s">
        <v>39</v>
      </c>
      <c r="CY43" s="29">
        <f>SUM(CY41:CY42)</f>
        <v>0</v>
      </c>
      <c r="CZ43" s="29">
        <f t="shared" ref="CZ43:DB43" si="637">SUM(CZ41:CZ42)</f>
        <v>0</v>
      </c>
      <c r="DA43" s="29">
        <f>SUM(DA41:DA42)</f>
        <v>0</v>
      </c>
      <c r="DB43" s="29">
        <f t="shared" si="637"/>
        <v>1488</v>
      </c>
      <c r="DC43" s="30">
        <f>(DC41*DO41+DC42*DO42)/DO43</f>
        <v>100</v>
      </c>
      <c r="DD43" s="29">
        <f>SUM(DD41:DD42)</f>
        <v>0</v>
      </c>
      <c r="DE43" s="30">
        <f>(DE41*DO41+DE42*DO42)/DO43</f>
        <v>0</v>
      </c>
      <c r="DF43" s="30">
        <f>SUM(DF41:DF42)</f>
        <v>0</v>
      </c>
      <c r="DG43" s="30">
        <f>(DG41*DO41+DG42*DO42)/DO43</f>
        <v>0</v>
      </c>
      <c r="DH43" s="29">
        <f>SUM(DH41:DH42)</f>
        <v>0</v>
      </c>
      <c r="DI43" s="26">
        <f>(DI41*DO41+DI42*DO42)/DO43</f>
        <v>0</v>
      </c>
      <c r="DJ43" s="30">
        <f>(DJ41*DO41+DJ42*DO42)/DO43</f>
        <v>0</v>
      </c>
      <c r="DK43" s="30">
        <f>(DK41*DO41+DK42*DO42)/DO43</f>
        <v>100</v>
      </c>
      <c r="DL43" s="7">
        <f>(DL41*DO41+DL42*DO42)/DO43</f>
        <v>0</v>
      </c>
      <c r="DM43" s="30">
        <f>SUM(DM41:DM42)</f>
        <v>1488</v>
      </c>
      <c r="DN43" s="29">
        <f>SUM(DN41:DN42)</f>
        <v>0</v>
      </c>
      <c r="DO43" s="29">
        <f>SUM(DO41:DO42)</f>
        <v>42</v>
      </c>
      <c r="DR43" s="32" t="s">
        <v>39</v>
      </c>
      <c r="DS43" s="29">
        <f>SUM(DS41:DS42)</f>
        <v>0</v>
      </c>
      <c r="DT43" s="29">
        <f t="shared" ref="DT43:DV43" si="638">SUM(DT41:DT42)</f>
        <v>0</v>
      </c>
      <c r="DU43" s="29">
        <f>SUM(DU41:DU42)</f>
        <v>0</v>
      </c>
      <c r="DV43" s="29">
        <f t="shared" si="638"/>
        <v>1488</v>
      </c>
      <c r="DW43" s="30">
        <f>(DW41*EI41+DW42*EI42)/EI43</f>
        <v>100</v>
      </c>
      <c r="DX43" s="29">
        <f>SUM(DX41:DX42)</f>
        <v>0</v>
      </c>
      <c r="DY43" s="30">
        <f>(DY41*EI41+DY42*EI42)/EI43</f>
        <v>0</v>
      </c>
      <c r="DZ43" s="30">
        <f>SUM(DZ41:DZ42)</f>
        <v>0</v>
      </c>
      <c r="EA43" s="30">
        <f>(EA41*EI41+EA42*EI42)/EI43</f>
        <v>0</v>
      </c>
      <c r="EB43" s="29">
        <f>SUM(EB41:EB42)</f>
        <v>0</v>
      </c>
      <c r="EC43" s="26">
        <f>(EC41*EI41+EC42*EI42)/EI43</f>
        <v>0</v>
      </c>
      <c r="ED43" s="30">
        <f>(ED41*EI41+ED42*EI42)/EI43</f>
        <v>0</v>
      </c>
      <c r="EE43" s="30">
        <f>(EE41*EI41+EE42*EI42)/EI43</f>
        <v>100</v>
      </c>
      <c r="EF43" s="7">
        <f>(EF41*EI41+EF42*EI42)/EI43</f>
        <v>0</v>
      </c>
      <c r="EG43" s="30">
        <f>SUM(EG41:EG42)</f>
        <v>1488</v>
      </c>
      <c r="EH43" s="29">
        <f>SUM(EH41:EH42)</f>
        <v>0</v>
      </c>
      <c r="EI43" s="29">
        <f>SUM(EI41:EI42)</f>
        <v>42</v>
      </c>
      <c r="EL43" s="24" t="s">
        <v>39</v>
      </c>
      <c r="EM43" s="29">
        <f>SUM(EM41:EM42)</f>
        <v>0</v>
      </c>
      <c r="EN43" s="29">
        <f t="shared" ref="EN43:EP43" si="639">SUM(EN41:EN42)</f>
        <v>0</v>
      </c>
      <c r="EO43" s="29">
        <f>SUM(EO41:EO42)</f>
        <v>0</v>
      </c>
      <c r="EP43" s="29">
        <f t="shared" si="639"/>
        <v>1344</v>
      </c>
      <c r="EQ43" s="30">
        <f>(EQ41*FC41+EQ42*FC42)/FC43</f>
        <v>100</v>
      </c>
      <c r="ER43" s="29">
        <f>SUM(ER41:ER42)</f>
        <v>0</v>
      </c>
      <c r="ES43" s="30">
        <f>(ES41*FC41+ES42*FC42)/FC43</f>
        <v>0</v>
      </c>
      <c r="ET43" s="30">
        <f>SUM(ET41:ET42)</f>
        <v>0</v>
      </c>
      <c r="EU43" s="30">
        <f>(EU41*FC41+EU42*FC42)/FC43</f>
        <v>0</v>
      </c>
      <c r="EV43" s="29">
        <f>SUM(EV41:EV42)</f>
        <v>0</v>
      </c>
      <c r="EW43" s="26">
        <f>(EW41*FC41+EW42*FC42)/FC43</f>
        <v>0</v>
      </c>
      <c r="EX43" s="30">
        <f>(EX41*FC41+EX42*FC42)/FC43</f>
        <v>0</v>
      </c>
      <c r="EY43" s="30">
        <f>(EY41*FC41+EY42*FC42)/FC43</f>
        <v>100</v>
      </c>
      <c r="EZ43" s="7">
        <f>(EZ41*FC41+EZ42*FC42)/FC43</f>
        <v>0</v>
      </c>
      <c r="FA43" s="30">
        <f>SUM(FA41:FA42)</f>
        <v>1344</v>
      </c>
      <c r="FB43" s="29">
        <f>SUM(FB41:FB42)</f>
        <v>0</v>
      </c>
      <c r="FC43" s="29">
        <f>SUM(FC41:FC42)</f>
        <v>42</v>
      </c>
      <c r="FF43" s="24" t="s">
        <v>39</v>
      </c>
      <c r="FG43" s="29">
        <f>SUM(FG41:FG42)</f>
        <v>0</v>
      </c>
      <c r="FH43" s="29">
        <f t="shared" ref="FH43:FJ43" si="640">SUM(FH41:FH42)</f>
        <v>0</v>
      </c>
      <c r="FI43" s="29">
        <f>SUM(FI41:FI42)</f>
        <v>0</v>
      </c>
      <c r="FJ43" s="29">
        <f t="shared" si="640"/>
        <v>1488</v>
      </c>
      <c r="FK43" s="30">
        <f>(FK41*FW41+FK42*FW42)/FW43</f>
        <v>100</v>
      </c>
      <c r="FL43" s="29">
        <f>SUM(FL41:FL42)</f>
        <v>0</v>
      </c>
      <c r="FM43" s="30">
        <f>(FM41*FW41+FM42*FW42)/FW43</f>
        <v>0</v>
      </c>
      <c r="FN43" s="30">
        <f>SUM(FN41:FN42)</f>
        <v>0</v>
      </c>
      <c r="FO43" s="30">
        <f>(FO41*FW41+FO42*FW42)/FW43</f>
        <v>0</v>
      </c>
      <c r="FP43" s="29">
        <f>SUM(FP41:FP42)</f>
        <v>0</v>
      </c>
      <c r="FQ43" s="26">
        <f>(FQ41*FW41+FQ42*FW42)/FW43</f>
        <v>0</v>
      </c>
      <c r="FR43" s="30">
        <f>(FR41*FW41+FR42*FW42)/FW43</f>
        <v>0</v>
      </c>
      <c r="FS43" s="30">
        <f>(FS41*FW41+FS42*FW42)/FW43</f>
        <v>100</v>
      </c>
      <c r="FT43" s="7">
        <f>(FT41*FW41+FT42*FW42)/FW43</f>
        <v>0</v>
      </c>
      <c r="FU43" s="30">
        <f>SUM(FU41:FU42)</f>
        <v>1488</v>
      </c>
      <c r="FV43" s="29">
        <f>SUM(FV41:FV42)</f>
        <v>0</v>
      </c>
      <c r="FW43" s="29">
        <f>SUM(FW41:FW42)</f>
        <v>42</v>
      </c>
      <c r="FZ43" s="32" t="s">
        <v>39</v>
      </c>
      <c r="GA43" s="29">
        <f>SUM(GA41:GA42)</f>
        <v>0</v>
      </c>
      <c r="GB43" s="29">
        <f t="shared" ref="GB43:GD43" si="641">SUM(GB41:GB42)</f>
        <v>0</v>
      </c>
      <c r="GC43" s="29">
        <f>SUM(GC41:GC42)</f>
        <v>0</v>
      </c>
      <c r="GD43" s="29">
        <f t="shared" si="641"/>
        <v>1440</v>
      </c>
      <c r="GE43" s="79">
        <f>(GE41*GQ41+GE42*GQ42)/GQ43</f>
        <v>1</v>
      </c>
      <c r="GF43" s="29">
        <f>SUM(GF41:GF42)</f>
        <v>0</v>
      </c>
      <c r="GG43" s="30">
        <f>(GG41*GQ41+GG42*GQ42)/GQ43</f>
        <v>0</v>
      </c>
      <c r="GH43" s="30">
        <f>SUM(GH41:GH42)</f>
        <v>0</v>
      </c>
      <c r="GI43" s="26">
        <f>(GI41*GQ41+GI42*GQ42)/GQ43</f>
        <v>0</v>
      </c>
      <c r="GJ43" s="29">
        <f>SUM(GJ41:GJ42)</f>
        <v>0</v>
      </c>
      <c r="GK43" s="26">
        <f>(GK41*GQ41+GK42*GQ42)/GQ43</f>
        <v>0</v>
      </c>
      <c r="GL43" s="30">
        <f>(GL41*GQ41+GL42*GQ42)/GQ43</f>
        <v>0</v>
      </c>
      <c r="GM43" s="30">
        <f>(GM41*GQ41+GM42*GQ42)/GQ43</f>
        <v>100</v>
      </c>
      <c r="GN43" s="7">
        <f>(GN41*GQ41+GN42*GQ42)/GQ43</f>
        <v>0</v>
      </c>
      <c r="GO43" s="30">
        <f>SUM(GO41:GO42)</f>
        <v>1440</v>
      </c>
      <c r="GP43" s="29">
        <f>SUM(GP41:GP42)</f>
        <v>0</v>
      </c>
      <c r="GQ43" s="29">
        <f>SUM(GQ41:GQ42)</f>
        <v>42</v>
      </c>
      <c r="GT43" s="32" t="s">
        <v>39</v>
      </c>
      <c r="GU43" s="29">
        <f>SUM(GU41:GU42)</f>
        <v>0</v>
      </c>
      <c r="GV43" s="29">
        <f t="shared" ref="GV43:GX43" si="642">SUM(GV41:GV42)</f>
        <v>0</v>
      </c>
      <c r="GW43" s="29">
        <f>SUM(GW41:GW42)</f>
        <v>0</v>
      </c>
      <c r="GX43" s="29">
        <f t="shared" si="642"/>
        <v>1488</v>
      </c>
      <c r="GY43" s="30">
        <f>(GY41*HK41+GY42*HK42)/HK43</f>
        <v>100</v>
      </c>
      <c r="GZ43" s="29">
        <f>SUM(GZ41:GZ42)</f>
        <v>0</v>
      </c>
      <c r="HA43" s="30">
        <f>(HA41*HK41+HA42*HK42)/HK43</f>
        <v>0</v>
      </c>
      <c r="HB43" s="30">
        <f>SUM(HB41:HB42)</f>
        <v>0</v>
      </c>
      <c r="HC43" s="26">
        <f>(HC41*HK41+HC42*HK42)/HK43</f>
        <v>0</v>
      </c>
      <c r="HD43" s="29">
        <f>SUM(HD41:HD42)</f>
        <v>0</v>
      </c>
      <c r="HE43" s="26">
        <f>(HE41*HK41+HE42*HK42)/HK43</f>
        <v>0</v>
      </c>
      <c r="HF43" s="30">
        <f>(HF41*HK41+HF42*HK42)/HK43</f>
        <v>0</v>
      </c>
      <c r="HG43" s="30">
        <f>(HG41*HK41+HG42*HK42)/HK43</f>
        <v>100</v>
      </c>
      <c r="HH43" s="7">
        <f>(HH41*HK41+HH42*HK42)/HK43</f>
        <v>0</v>
      </c>
      <c r="HI43" s="30">
        <f>SUM(HI41:HI42)</f>
        <v>1488</v>
      </c>
      <c r="HJ43" s="29">
        <f>SUM(HJ41:HJ42)</f>
        <v>0</v>
      </c>
      <c r="HK43" s="29">
        <f>SUM(HK41:HK42)</f>
        <v>42</v>
      </c>
      <c r="HN43" s="190" t="s">
        <v>39</v>
      </c>
      <c r="HO43" s="29">
        <f>SUM(HO41:HO42)</f>
        <v>0</v>
      </c>
      <c r="HP43" s="29">
        <f t="shared" ref="HP43" si="643">SUM(HP41:HP42)</f>
        <v>0</v>
      </c>
      <c r="HQ43" s="29">
        <f>SUM(HQ41:HQ42)</f>
        <v>0</v>
      </c>
      <c r="HR43" s="29">
        <f t="shared" ref="HR43" si="644">SUM(HR41:HR42)</f>
        <v>1440</v>
      </c>
      <c r="HS43" s="26">
        <f>(HS41*IE41+HS42*IE42)/IE43</f>
        <v>100</v>
      </c>
      <c r="HT43" s="29">
        <f>SUM(HT41:HT42)</f>
        <v>0</v>
      </c>
      <c r="HU43" s="26">
        <f>(HU41*IE41+HU42*IE42)/IE43</f>
        <v>0</v>
      </c>
      <c r="HV43" s="29">
        <f>SUM(HV41:HV42)</f>
        <v>0</v>
      </c>
      <c r="HW43" s="26">
        <f>(HW41*IE41+HW42*IE42)/IE43</f>
        <v>0</v>
      </c>
      <c r="HX43" s="29">
        <f>SUM(HX41:HX42)</f>
        <v>0</v>
      </c>
      <c r="HY43" s="30">
        <f>(HY41*IE41+HY42*IE42)/IE43</f>
        <v>0</v>
      </c>
      <c r="HZ43" s="193">
        <f>(HZ41*IE41+HZ42*IE42)/IE43</f>
        <v>0</v>
      </c>
      <c r="IA43" s="193">
        <f>(IA41*IE41+IA42*IE42)/IE43</f>
        <v>100</v>
      </c>
      <c r="IB43" s="193">
        <f>(IB41*IE41+IB42*IE42)/IE43</f>
        <v>0</v>
      </c>
      <c r="IC43" s="30">
        <f>SUM(IC41:IC42)</f>
        <v>1440</v>
      </c>
      <c r="ID43" s="29">
        <f>SUM(ID41:ID42)</f>
        <v>0</v>
      </c>
      <c r="IE43" s="29">
        <f>SUM(IE41:IE42)</f>
        <v>42</v>
      </c>
      <c r="IF43" s="15"/>
    </row>
    <row r="44" spans="1:240" ht="15" x14ac:dyDescent="0.25">
      <c r="A44" s="74" t="s">
        <v>56</v>
      </c>
      <c r="B44" s="37" t="s">
        <v>47</v>
      </c>
      <c r="C44" s="8">
        <v>0</v>
      </c>
      <c r="D44" s="8">
        <v>0</v>
      </c>
      <c r="E44" s="8">
        <v>0</v>
      </c>
      <c r="F44" s="8">
        <v>0</v>
      </c>
      <c r="G44" s="6">
        <f t="shared" si="339"/>
        <v>0</v>
      </c>
      <c r="H44" s="8">
        <v>744</v>
      </c>
      <c r="I44" s="6">
        <f t="shared" si="340"/>
        <v>100</v>
      </c>
      <c r="J44" s="6">
        <v>0</v>
      </c>
      <c r="K44" s="6">
        <f t="shared" si="524"/>
        <v>0</v>
      </c>
      <c r="L44" s="8">
        <v>0</v>
      </c>
      <c r="M44" s="6">
        <f>(C44/$B$4)*100</f>
        <v>0</v>
      </c>
      <c r="N44" s="8">
        <f t="shared" si="525"/>
        <v>0</v>
      </c>
      <c r="O44" s="8">
        <f t="shared" si="526"/>
        <v>0</v>
      </c>
      <c r="P44" s="6">
        <f>(R44/($B$4*S44))*100</f>
        <v>0</v>
      </c>
      <c r="Q44" s="6">
        <f>SUM(D44:F44,H44,J44)</f>
        <v>744</v>
      </c>
      <c r="R44" s="8">
        <v>0</v>
      </c>
      <c r="S44" s="8">
        <v>21</v>
      </c>
      <c r="U44" s="74" t="s">
        <v>56</v>
      </c>
      <c r="V44" s="37" t="s">
        <v>47</v>
      </c>
      <c r="W44" s="8">
        <v>0</v>
      </c>
      <c r="X44" s="8">
        <v>0</v>
      </c>
      <c r="Y44" s="8">
        <v>0</v>
      </c>
      <c r="Z44" s="8">
        <v>0</v>
      </c>
      <c r="AA44" s="8">
        <f t="shared" ref="AA44:AA51" si="645">(Z44/$V$4)*100</f>
        <v>0</v>
      </c>
      <c r="AB44" s="8">
        <v>744</v>
      </c>
      <c r="AC44" s="8">
        <f t="shared" ref="AC44:AC51" si="646">(AB44/$V$4)*100</f>
        <v>100</v>
      </c>
      <c r="AD44" s="8">
        <v>0</v>
      </c>
      <c r="AE44" s="6">
        <f t="shared" si="118"/>
        <v>0</v>
      </c>
      <c r="AF44" s="8">
        <v>0</v>
      </c>
      <c r="AG44" s="6">
        <f>(W44/$V$4)*100</f>
        <v>0</v>
      </c>
      <c r="AH44" s="8">
        <f t="shared" ref="AH44:AH51" si="647">((W44-AF44)/$V$4)*100</f>
        <v>0</v>
      </c>
      <c r="AI44" s="15">
        <f t="shared" ref="AI44:AI51" si="648">IF((AND(X44=0,Z44=0)),0,(Z44+AF44)/(X44+Z44)*100)</f>
        <v>0</v>
      </c>
      <c r="AJ44" s="6">
        <f>(AL44/($V$4*AM44))*100</f>
        <v>0</v>
      </c>
      <c r="AK44" s="6">
        <f>SUM(X44:Z44,AB44,AD44)</f>
        <v>744</v>
      </c>
      <c r="AL44" s="8">
        <v>0</v>
      </c>
      <c r="AM44" s="8">
        <v>21</v>
      </c>
      <c r="AO44" s="74" t="s">
        <v>56</v>
      </c>
      <c r="AP44" s="37" t="s">
        <v>47</v>
      </c>
      <c r="AQ44" s="8">
        <v>0</v>
      </c>
      <c r="AR44" s="8">
        <v>0</v>
      </c>
      <c r="AS44" s="8">
        <v>0</v>
      </c>
      <c r="AT44" s="8">
        <v>0</v>
      </c>
      <c r="AU44" s="8">
        <f t="shared" si="121"/>
        <v>0</v>
      </c>
      <c r="AV44" s="8">
        <v>720</v>
      </c>
      <c r="AW44" s="8">
        <f t="shared" si="122"/>
        <v>100</v>
      </c>
      <c r="AX44" s="8">
        <v>0</v>
      </c>
      <c r="AY44" s="6">
        <f>(AX44/$AP$4)*100</f>
        <v>0</v>
      </c>
      <c r="AZ44" s="8">
        <v>0</v>
      </c>
      <c r="BA44" s="6">
        <f>(AQ44/$AP$4)*100</f>
        <v>0</v>
      </c>
      <c r="BB44" s="6">
        <f t="shared" si="456"/>
        <v>0</v>
      </c>
      <c r="BC44" s="15">
        <f t="shared" si="457"/>
        <v>0</v>
      </c>
      <c r="BD44" s="6">
        <f t="shared" ref="BD44:BD45" si="649">(BF44/($AP$4*BG44))*100</f>
        <v>0</v>
      </c>
      <c r="BE44" s="6">
        <f>SUM(AR44:AT44,AV44,AX44)</f>
        <v>720</v>
      </c>
      <c r="BF44" s="8">
        <v>0</v>
      </c>
      <c r="BG44" s="8">
        <v>21</v>
      </c>
      <c r="BI44" s="74" t="s">
        <v>56</v>
      </c>
      <c r="BJ44" s="37" t="s">
        <v>47</v>
      </c>
      <c r="BK44" s="8">
        <v>0</v>
      </c>
      <c r="BL44" s="8">
        <v>0</v>
      </c>
      <c r="BM44" s="8">
        <v>0</v>
      </c>
      <c r="BN44" s="8">
        <v>0</v>
      </c>
      <c r="BO44" s="6">
        <f t="shared" si="126"/>
        <v>0</v>
      </c>
      <c r="BP44" s="8">
        <v>744</v>
      </c>
      <c r="BQ44" s="8">
        <f t="shared" si="127"/>
        <v>100</v>
      </c>
      <c r="BR44" s="8">
        <v>0</v>
      </c>
      <c r="BS44" s="6">
        <f>(BR44/$BJ$4)*100</f>
        <v>0</v>
      </c>
      <c r="BT44" s="8">
        <v>0</v>
      </c>
      <c r="BU44" s="6">
        <f>(BK44/$BJ$4)*100</f>
        <v>0</v>
      </c>
      <c r="BV44" s="6">
        <f t="shared" si="460"/>
        <v>0</v>
      </c>
      <c r="BW44" s="6">
        <f t="shared" si="461"/>
        <v>0</v>
      </c>
      <c r="BX44" s="6">
        <f t="shared" ref="BX44:BX45" si="650">(BZ44/($BJ$4*CA44))*100</f>
        <v>0</v>
      </c>
      <c r="BY44" s="6">
        <f>SUM(BL44:BN44,BP44,BR44)</f>
        <v>744</v>
      </c>
      <c r="BZ44" s="8">
        <v>0</v>
      </c>
      <c r="CA44" s="8">
        <v>21</v>
      </c>
      <c r="CC44" s="74" t="s">
        <v>56</v>
      </c>
      <c r="CD44" s="37" t="s">
        <v>47</v>
      </c>
      <c r="CE44" s="8">
        <v>0</v>
      </c>
      <c r="CF44" s="8">
        <v>0</v>
      </c>
      <c r="CG44" s="8">
        <v>0</v>
      </c>
      <c r="CH44" s="8">
        <v>0</v>
      </c>
      <c r="CI44" s="6">
        <f t="shared" ref="CI44:CK48" si="651">(CH44/$CD$4)*100</f>
        <v>0</v>
      </c>
      <c r="CJ44" s="8">
        <v>720</v>
      </c>
      <c r="CK44" s="6">
        <f t="shared" ref="CK44:CK45" si="652">(CJ44/$CD$4)*100</f>
        <v>100</v>
      </c>
      <c r="CL44" s="6">
        <v>0</v>
      </c>
      <c r="CM44" s="6">
        <f>(CL44/$CD$4)*100</f>
        <v>0</v>
      </c>
      <c r="CN44" s="8">
        <v>0</v>
      </c>
      <c r="CO44" s="6">
        <f>(CE44/$CD$4)*100</f>
        <v>0</v>
      </c>
      <c r="CP44" s="6">
        <f t="shared" si="132"/>
        <v>0</v>
      </c>
      <c r="CQ44" s="18">
        <f t="shared" si="415"/>
        <v>0</v>
      </c>
      <c r="CR44" s="6">
        <f t="shared" ref="CR44:CR45" si="653">(CT44/($CD$4*CU44))*100</f>
        <v>0</v>
      </c>
      <c r="CS44" s="6">
        <f>SUM(CF44:CH44,CJ44,CL44)</f>
        <v>720</v>
      </c>
      <c r="CT44" s="8">
        <v>0</v>
      </c>
      <c r="CU44" s="8">
        <v>21</v>
      </c>
      <c r="CW44" s="74" t="s">
        <v>56</v>
      </c>
      <c r="CX44" s="37" t="s">
        <v>47</v>
      </c>
      <c r="CY44" s="8">
        <v>24</v>
      </c>
      <c r="CZ44" s="8">
        <v>0</v>
      </c>
      <c r="DA44" s="8">
        <v>24</v>
      </c>
      <c r="DB44" s="8">
        <v>0</v>
      </c>
      <c r="DC44" s="6">
        <f t="shared" si="416"/>
        <v>0</v>
      </c>
      <c r="DD44" s="8">
        <v>720</v>
      </c>
      <c r="DE44" s="6">
        <f t="shared" si="417"/>
        <v>96.774193548387103</v>
      </c>
      <c r="DF44" s="6">
        <v>0</v>
      </c>
      <c r="DG44" s="6">
        <f>(DF44/$CX$4)*100</f>
        <v>0</v>
      </c>
      <c r="DH44" s="8">
        <v>0</v>
      </c>
      <c r="DI44" s="6">
        <f>(CY44/$V$4)*100</f>
        <v>3.225806451612903</v>
      </c>
      <c r="DJ44" s="6">
        <f t="shared" si="464"/>
        <v>3.225806451612903</v>
      </c>
      <c r="DK44" s="18">
        <f t="shared" si="465"/>
        <v>0</v>
      </c>
      <c r="DL44" s="6">
        <f>(DN44/($CX$4*DO44))*100</f>
        <v>0</v>
      </c>
      <c r="DM44" s="6">
        <f>SUM(CZ44:DB44,DD44,DF44)</f>
        <v>744</v>
      </c>
      <c r="DN44" s="8">
        <v>0</v>
      </c>
      <c r="DO44" s="8">
        <v>21</v>
      </c>
      <c r="DQ44" s="74" t="s">
        <v>56</v>
      </c>
      <c r="DR44" s="37" t="s">
        <v>47</v>
      </c>
      <c r="DS44" s="8">
        <v>0</v>
      </c>
      <c r="DT44" s="8">
        <v>0</v>
      </c>
      <c r="DU44" s="8">
        <v>0</v>
      </c>
      <c r="DV44" s="8">
        <v>0</v>
      </c>
      <c r="DW44" s="6">
        <f t="shared" si="420"/>
        <v>0</v>
      </c>
      <c r="DX44" s="8">
        <v>744</v>
      </c>
      <c r="DY44" s="6">
        <f t="shared" si="421"/>
        <v>100</v>
      </c>
      <c r="DZ44" s="6">
        <v>0</v>
      </c>
      <c r="EA44" s="6">
        <f>(DZ44/$DR$4)*100</f>
        <v>0</v>
      </c>
      <c r="EB44" s="8">
        <v>0</v>
      </c>
      <c r="EC44" s="6">
        <f>(DS44/$V$4)*100</f>
        <v>0</v>
      </c>
      <c r="ED44" s="6">
        <f t="shared" si="467"/>
        <v>0</v>
      </c>
      <c r="EE44" s="18">
        <f t="shared" si="468"/>
        <v>0</v>
      </c>
      <c r="EF44" s="6">
        <f>(EH44/($DR$4*EI44))*100</f>
        <v>0</v>
      </c>
      <c r="EG44" s="6">
        <f>SUM(DT44:DV44,DX44,DZ44)</f>
        <v>744</v>
      </c>
      <c r="EH44" s="8">
        <v>0</v>
      </c>
      <c r="EI44" s="8">
        <v>21</v>
      </c>
      <c r="EK44" s="74" t="s">
        <v>56</v>
      </c>
      <c r="EL44" s="37" t="s">
        <v>47</v>
      </c>
      <c r="EM44" s="8">
        <v>0</v>
      </c>
      <c r="EN44" s="8">
        <v>0</v>
      </c>
      <c r="EO44" s="8">
        <v>0</v>
      </c>
      <c r="EP44" s="8">
        <v>0</v>
      </c>
      <c r="EQ44" s="6">
        <f t="shared" si="424"/>
        <v>0</v>
      </c>
      <c r="ER44" s="8">
        <v>672</v>
      </c>
      <c r="ES44" s="6">
        <f t="shared" si="425"/>
        <v>100</v>
      </c>
      <c r="ET44" s="6">
        <v>0</v>
      </c>
      <c r="EU44" s="6">
        <f>(ET44/$EL$4)*100</f>
        <v>0</v>
      </c>
      <c r="EV44" s="8">
        <v>0</v>
      </c>
      <c r="EW44" s="6">
        <f>(EM44/$V$4)*100</f>
        <v>0</v>
      </c>
      <c r="EX44" s="6">
        <f t="shared" si="469"/>
        <v>0</v>
      </c>
      <c r="EY44" s="18">
        <f t="shared" si="470"/>
        <v>0</v>
      </c>
      <c r="EZ44" s="6">
        <f>(FB44/($EL$4*FC44))*100</f>
        <v>0</v>
      </c>
      <c r="FA44" s="6">
        <f>SUM(EN44:EP44,ER44,ET44)</f>
        <v>672</v>
      </c>
      <c r="FB44" s="8">
        <v>0</v>
      </c>
      <c r="FC44" s="8">
        <v>21</v>
      </c>
      <c r="FE44" s="74" t="s">
        <v>56</v>
      </c>
      <c r="FF44" s="37" t="s">
        <v>47</v>
      </c>
      <c r="FG44" s="8">
        <v>0</v>
      </c>
      <c r="FH44" s="8">
        <v>0</v>
      </c>
      <c r="FI44" s="8">
        <v>0</v>
      </c>
      <c r="FJ44" s="8">
        <v>0</v>
      </c>
      <c r="FK44" s="6">
        <f t="shared" si="439"/>
        <v>0</v>
      </c>
      <c r="FL44" s="8">
        <v>744</v>
      </c>
      <c r="FM44" s="6">
        <f t="shared" si="440"/>
        <v>100</v>
      </c>
      <c r="FN44" s="6">
        <v>0</v>
      </c>
      <c r="FO44" s="6">
        <f>(FN44/$FF$4)*100</f>
        <v>0</v>
      </c>
      <c r="FP44" s="8">
        <v>0</v>
      </c>
      <c r="FQ44" s="6">
        <f>(FG44/$V$4)*100</f>
        <v>0</v>
      </c>
      <c r="FR44" s="6">
        <f t="shared" si="473"/>
        <v>0</v>
      </c>
      <c r="FS44" s="18">
        <f t="shared" si="474"/>
        <v>0</v>
      </c>
      <c r="FT44" s="6">
        <f>(FV44/($FF$4*FW44))*100</f>
        <v>0</v>
      </c>
      <c r="FU44" s="6">
        <f>SUM(FH44:FJ44,FL44,FN44)</f>
        <v>744</v>
      </c>
      <c r="FV44" s="8">
        <v>0</v>
      </c>
      <c r="FW44" s="8">
        <v>21</v>
      </c>
      <c r="FY44" s="74" t="s">
        <v>56</v>
      </c>
      <c r="FZ44" s="37" t="s">
        <v>47</v>
      </c>
      <c r="GA44" s="8">
        <v>0</v>
      </c>
      <c r="GB44" s="8">
        <v>0</v>
      </c>
      <c r="GC44" s="8">
        <v>0</v>
      </c>
      <c r="GD44" s="8">
        <v>0</v>
      </c>
      <c r="GE44" s="8">
        <f>(GD44/$FZ$4)</f>
        <v>0</v>
      </c>
      <c r="GF44" s="8">
        <v>720</v>
      </c>
      <c r="GG44" s="8">
        <f t="shared" si="431"/>
        <v>100</v>
      </c>
      <c r="GH44" s="8">
        <v>0</v>
      </c>
      <c r="GI44" s="6">
        <f>(GH44/$FZ$4)*100</f>
        <v>0</v>
      </c>
      <c r="GJ44" s="8">
        <v>0</v>
      </c>
      <c r="GK44" s="6">
        <f>(GA44/$V$4)*100</f>
        <v>0</v>
      </c>
      <c r="GL44" s="8">
        <f t="shared" ref="GL44:GL48" si="654">((GA44-GJ44)/$FZ$4)*100</f>
        <v>0</v>
      </c>
      <c r="GM44" s="6">
        <f t="shared" ref="GM44:GM48" si="655">IF((AND(GB44=0,GD44=0)),0,(GD44+GJ44)/(GB44+GD44)*100)</f>
        <v>0</v>
      </c>
      <c r="GN44" s="6">
        <f>(GP44/($FZ$4*GQ44))*100</f>
        <v>0</v>
      </c>
      <c r="GO44" s="6">
        <f>SUM(GB44:GD44,GF44,GH44)</f>
        <v>720</v>
      </c>
      <c r="GP44" s="8">
        <v>0</v>
      </c>
      <c r="GQ44" s="8">
        <v>21</v>
      </c>
      <c r="GS44" s="74" t="s">
        <v>56</v>
      </c>
      <c r="GT44" s="37" t="s">
        <v>47</v>
      </c>
      <c r="GU44" s="8">
        <v>0</v>
      </c>
      <c r="GV44" s="8">
        <v>0</v>
      </c>
      <c r="GW44" s="8">
        <v>0</v>
      </c>
      <c r="GX44" s="8">
        <v>0</v>
      </c>
      <c r="GY44" s="8">
        <f t="shared" si="559"/>
        <v>0</v>
      </c>
      <c r="GZ44" s="8">
        <v>744</v>
      </c>
      <c r="HA44" s="8">
        <f t="shared" si="560"/>
        <v>100</v>
      </c>
      <c r="HB44" s="8">
        <v>0</v>
      </c>
      <c r="HC44" s="6">
        <f>(HB44/$GT$4)*100</f>
        <v>0</v>
      </c>
      <c r="HD44" s="8">
        <v>0</v>
      </c>
      <c r="HE44" s="6">
        <f>(GU44/$GT$4)*100</f>
        <v>0</v>
      </c>
      <c r="HF44" s="8">
        <f t="shared" si="396"/>
        <v>0</v>
      </c>
      <c r="HG44" s="8">
        <f t="shared" si="397"/>
        <v>0</v>
      </c>
      <c r="HH44" s="6">
        <f t="shared" ref="HH44:HH45" si="656">(HJ44/($GT$4*HK44))*100</f>
        <v>0</v>
      </c>
      <c r="HI44" s="6">
        <f>SUM(GV44:GX44,GZ44,HB44)</f>
        <v>744</v>
      </c>
      <c r="HJ44" s="8">
        <v>0</v>
      </c>
      <c r="HK44" s="8">
        <v>21</v>
      </c>
      <c r="HM44" s="74" t="s">
        <v>56</v>
      </c>
      <c r="HN44" s="37" t="s">
        <v>47</v>
      </c>
      <c r="HO44" s="8">
        <v>0</v>
      </c>
      <c r="HP44" s="8">
        <v>0</v>
      </c>
      <c r="HQ44" s="8">
        <v>0</v>
      </c>
      <c r="HR44" s="8">
        <v>0</v>
      </c>
      <c r="HS44" s="6">
        <f>(HR44/$HN$4)*100</f>
        <v>0</v>
      </c>
      <c r="HT44" s="8">
        <v>720</v>
      </c>
      <c r="HU44" s="6">
        <f>(HT44/$HN$4)*100</f>
        <v>100</v>
      </c>
      <c r="HV44" s="8">
        <v>0</v>
      </c>
      <c r="HW44" s="6">
        <f>(HV44/$HN$4)*100</f>
        <v>0</v>
      </c>
      <c r="HX44" s="8">
        <v>0</v>
      </c>
      <c r="HY44" s="6">
        <f>(HO44/$HN$4)*100</f>
        <v>0</v>
      </c>
      <c r="HZ44" s="21">
        <f>((HO44-HX44)/$HN$4)*100</f>
        <v>0</v>
      </c>
      <c r="IA44" s="21">
        <f t="shared" ref="IA44:IA45" si="657">IF((AND(HP44=0,HR44=0)),0,(HR44+HX44)/(HP44+HR44)*100)</f>
        <v>0</v>
      </c>
      <c r="IB44" s="6">
        <f>(ID44/($HN$4*IE44))*100</f>
        <v>0</v>
      </c>
      <c r="IC44" s="6">
        <f>SUM(HP44:HR44,HT44,HV44)</f>
        <v>720</v>
      </c>
      <c r="ID44" s="8">
        <v>0</v>
      </c>
      <c r="IE44" s="8">
        <v>21</v>
      </c>
      <c r="IF44" s="15">
        <v>0</v>
      </c>
    </row>
    <row r="45" spans="1:240" ht="14.25" x14ac:dyDescent="0.25">
      <c r="B45" s="37" t="s">
        <v>48</v>
      </c>
      <c r="C45" s="8">
        <v>744</v>
      </c>
      <c r="D45" s="8">
        <v>37.5</v>
      </c>
      <c r="E45" s="8">
        <v>706.5</v>
      </c>
      <c r="F45" s="8">
        <v>0</v>
      </c>
      <c r="G45" s="6">
        <f t="shared" si="339"/>
        <v>0</v>
      </c>
      <c r="H45" s="8">
        <v>0</v>
      </c>
      <c r="I45" s="6">
        <f t="shared" si="340"/>
        <v>0</v>
      </c>
      <c r="J45" s="6">
        <v>0</v>
      </c>
      <c r="K45" s="6">
        <f t="shared" si="524"/>
        <v>0</v>
      </c>
      <c r="L45" s="8">
        <v>0</v>
      </c>
      <c r="M45" s="6">
        <f t="shared" ref="M45" si="658">(C45/$B$4)*100</f>
        <v>100</v>
      </c>
      <c r="N45" s="8">
        <f t="shared" si="525"/>
        <v>100</v>
      </c>
      <c r="O45" s="15">
        <f t="shared" si="526"/>
        <v>0</v>
      </c>
      <c r="P45" s="6">
        <f t="shared" ref="P45" si="659">(R45/($B$4*S45))*100</f>
        <v>3.8466461853558629</v>
      </c>
      <c r="Q45" s="6">
        <f t="shared" ref="Q45" si="660">SUM(D45:F45,H45,J45)</f>
        <v>744</v>
      </c>
      <c r="R45" s="8">
        <v>601</v>
      </c>
      <c r="S45" s="8">
        <v>21</v>
      </c>
      <c r="V45" s="37" t="s">
        <v>48</v>
      </c>
      <c r="W45" s="8">
        <v>744</v>
      </c>
      <c r="X45" s="8">
        <v>162.9</v>
      </c>
      <c r="Y45" s="8">
        <v>581.1</v>
      </c>
      <c r="Z45" s="8">
        <v>0</v>
      </c>
      <c r="AA45" s="6">
        <f t="shared" si="645"/>
        <v>0</v>
      </c>
      <c r="AB45" s="8">
        <v>0</v>
      </c>
      <c r="AC45" s="6">
        <f t="shared" si="646"/>
        <v>0</v>
      </c>
      <c r="AD45" s="6">
        <v>0</v>
      </c>
      <c r="AE45" s="6">
        <f t="shared" ref="AE45" si="661">(AD45/$V$4)*100</f>
        <v>0</v>
      </c>
      <c r="AF45" s="8">
        <v>0</v>
      </c>
      <c r="AG45" s="6">
        <f>(W45/$V$4)*100</f>
        <v>100</v>
      </c>
      <c r="AH45" s="6">
        <f t="shared" si="647"/>
        <v>100</v>
      </c>
      <c r="AI45" s="6">
        <f t="shared" si="648"/>
        <v>0</v>
      </c>
      <c r="AJ45" s="6">
        <f t="shared" ref="AJ45" si="662">(AL45/($V$4*AM45))*100</f>
        <v>16.737071172555044</v>
      </c>
      <c r="AK45" s="6">
        <f t="shared" ref="AK45" si="663">SUM(X45:Z45,AB45,AD45)</f>
        <v>744</v>
      </c>
      <c r="AL45" s="86">
        <v>2615</v>
      </c>
      <c r="AM45" s="8">
        <v>21</v>
      </c>
      <c r="AP45" s="37" t="s">
        <v>48</v>
      </c>
      <c r="AQ45" s="8">
        <v>600</v>
      </c>
      <c r="AR45" s="8">
        <v>143.69999999999999</v>
      </c>
      <c r="AS45" s="8">
        <v>456.3</v>
      </c>
      <c r="AT45" s="8">
        <v>120</v>
      </c>
      <c r="AU45" s="6">
        <f t="shared" si="121"/>
        <v>16.666666666666664</v>
      </c>
      <c r="AV45" s="8">
        <v>0</v>
      </c>
      <c r="AW45" s="8">
        <f t="shared" si="122"/>
        <v>0</v>
      </c>
      <c r="AX45" s="8">
        <v>0</v>
      </c>
      <c r="AY45" s="6">
        <f>(AX45/$AP$4)*100</f>
        <v>0</v>
      </c>
      <c r="AZ45" s="8">
        <v>0</v>
      </c>
      <c r="BA45" s="6">
        <f t="shared" ref="BA45" si="664">(AQ45/$AP$4)*100</f>
        <v>83.333333333333343</v>
      </c>
      <c r="BB45" s="6">
        <f t="shared" si="456"/>
        <v>83.333333333333343</v>
      </c>
      <c r="BC45" s="15">
        <f t="shared" si="457"/>
        <v>45.506257110352678</v>
      </c>
      <c r="BD45" s="6">
        <f t="shared" si="649"/>
        <v>15.152116402116404</v>
      </c>
      <c r="BE45" s="6">
        <f t="shared" ref="BE45" si="665">SUM(AR45:AT45,AV45,AX45)</f>
        <v>720</v>
      </c>
      <c r="BF45" s="8">
        <v>2291</v>
      </c>
      <c r="BG45" s="8">
        <v>21</v>
      </c>
      <c r="BJ45" s="37" t="s">
        <v>48</v>
      </c>
      <c r="BK45" s="8">
        <v>576</v>
      </c>
      <c r="BL45" s="8">
        <v>86.9</v>
      </c>
      <c r="BM45" s="8">
        <v>489.1</v>
      </c>
      <c r="BN45" s="8">
        <v>168</v>
      </c>
      <c r="BO45" s="6">
        <f t="shared" si="126"/>
        <v>22.58064516129032</v>
      </c>
      <c r="BP45" s="8">
        <v>0</v>
      </c>
      <c r="BQ45" s="8">
        <f t="shared" si="127"/>
        <v>0</v>
      </c>
      <c r="BR45" s="8">
        <v>0</v>
      </c>
      <c r="BS45" s="6">
        <f>(BR45/$BJ$4)*100</f>
        <v>0</v>
      </c>
      <c r="BT45" s="8">
        <v>0</v>
      </c>
      <c r="BU45" s="6">
        <f t="shared" ref="BU45" si="666">(BK45/$BJ$4)*100</f>
        <v>77.41935483870968</v>
      </c>
      <c r="BV45" s="6">
        <f t="shared" si="460"/>
        <v>77.41935483870968</v>
      </c>
      <c r="BW45" s="6">
        <f t="shared" si="461"/>
        <v>65.908199293840724</v>
      </c>
      <c r="BX45" s="6">
        <f t="shared" si="650"/>
        <v>8.4229390681003586</v>
      </c>
      <c r="BY45" s="6">
        <f t="shared" ref="BY45" si="667">SUM(BL45:BN45,BP45,BR45)</f>
        <v>744</v>
      </c>
      <c r="BZ45" s="86">
        <v>1316</v>
      </c>
      <c r="CA45" s="8">
        <v>21</v>
      </c>
      <c r="CD45" s="37" t="s">
        <v>48</v>
      </c>
      <c r="CE45" s="8">
        <v>720</v>
      </c>
      <c r="CF45" s="8">
        <v>17</v>
      </c>
      <c r="CG45" s="8">
        <v>703</v>
      </c>
      <c r="CH45" s="8">
        <v>0</v>
      </c>
      <c r="CI45" s="6">
        <f t="shared" si="651"/>
        <v>0</v>
      </c>
      <c r="CJ45" s="8">
        <v>0</v>
      </c>
      <c r="CK45" s="6">
        <f t="shared" si="652"/>
        <v>0</v>
      </c>
      <c r="CL45" s="6">
        <v>0</v>
      </c>
      <c r="CM45" s="6">
        <f t="shared" ref="CM45" si="668">(CL45/$CD$4)*100</f>
        <v>0</v>
      </c>
      <c r="CN45" s="8">
        <v>0</v>
      </c>
      <c r="CO45" s="6">
        <f t="shared" ref="CO45" si="669">(CE45/$CD$4)*100</f>
        <v>100</v>
      </c>
      <c r="CP45" s="6">
        <f t="shared" si="132"/>
        <v>100</v>
      </c>
      <c r="CQ45" s="18">
        <f t="shared" si="415"/>
        <v>0</v>
      </c>
      <c r="CR45" s="6">
        <f t="shared" si="653"/>
        <v>1.7328042328042328</v>
      </c>
      <c r="CS45" s="6">
        <f t="shared" ref="CS45" si="670">SUM(CF45:CH45,CJ45,CL45)</f>
        <v>720</v>
      </c>
      <c r="CT45" s="8">
        <v>262</v>
      </c>
      <c r="CU45" s="8">
        <v>21</v>
      </c>
      <c r="CX45" s="37" t="s">
        <v>48</v>
      </c>
      <c r="CY45" s="8">
        <v>744</v>
      </c>
      <c r="CZ45" s="8">
        <v>31.2</v>
      </c>
      <c r="DA45" s="8">
        <v>712.8</v>
      </c>
      <c r="DB45" s="8">
        <v>0</v>
      </c>
      <c r="DC45" s="6">
        <f t="shared" si="416"/>
        <v>0</v>
      </c>
      <c r="DD45" s="8">
        <v>0</v>
      </c>
      <c r="DE45" s="6">
        <f t="shared" si="417"/>
        <v>0</v>
      </c>
      <c r="DF45" s="6">
        <v>0</v>
      </c>
      <c r="DG45" s="6">
        <f t="shared" ref="DG45" si="671">(DF45/$CX$4)*100</f>
        <v>0</v>
      </c>
      <c r="DH45" s="8">
        <v>0</v>
      </c>
      <c r="DI45" s="6">
        <f>(CY45/$V$4)*100</f>
        <v>100</v>
      </c>
      <c r="DJ45" s="6">
        <f t="shared" si="464"/>
        <v>100</v>
      </c>
      <c r="DK45" s="18">
        <f t="shared" si="465"/>
        <v>0</v>
      </c>
      <c r="DL45" s="6">
        <f t="shared" ref="DL45" si="672">(DN45/($CX$4*DO45))*100</f>
        <v>3.11699948796723</v>
      </c>
      <c r="DM45" s="6">
        <f t="shared" ref="DM45" si="673">SUM(CZ45:DB45,DD45,DF45)</f>
        <v>744</v>
      </c>
      <c r="DN45" s="8">
        <v>487</v>
      </c>
      <c r="DO45" s="8">
        <v>21</v>
      </c>
      <c r="DR45" s="37" t="s">
        <v>48</v>
      </c>
      <c r="DS45" s="8">
        <v>744</v>
      </c>
      <c r="DT45" s="8">
        <v>100.7</v>
      </c>
      <c r="DU45" s="8">
        <v>643.29999999999995</v>
      </c>
      <c r="DV45" s="8">
        <v>0</v>
      </c>
      <c r="DW45" s="6">
        <f t="shared" si="420"/>
        <v>0</v>
      </c>
      <c r="DX45" s="8">
        <v>0</v>
      </c>
      <c r="DY45" s="6">
        <f t="shared" si="421"/>
        <v>0</v>
      </c>
      <c r="DZ45" s="6">
        <v>0</v>
      </c>
      <c r="EA45" s="6">
        <f>(DZ45/$DR$4)*100</f>
        <v>0</v>
      </c>
      <c r="EB45" s="8">
        <v>0</v>
      </c>
      <c r="EC45" s="6">
        <f>(DS45/$V$4)*100</f>
        <v>100</v>
      </c>
      <c r="ED45" s="6">
        <f t="shared" si="467"/>
        <v>100</v>
      </c>
      <c r="EE45" s="18">
        <f t="shared" si="468"/>
        <v>0</v>
      </c>
      <c r="EF45" s="6">
        <f t="shared" ref="EF45" si="674">(EH45/($DR$4*EI45))*100</f>
        <v>9.5878136200716852</v>
      </c>
      <c r="EG45" s="6">
        <f t="shared" ref="EG45" si="675">SUM(DT45:DV45,DX45,DZ45)</f>
        <v>744</v>
      </c>
      <c r="EH45" s="86">
        <v>1498</v>
      </c>
      <c r="EI45" s="8">
        <v>21</v>
      </c>
      <c r="EL45" s="37" t="s">
        <v>48</v>
      </c>
      <c r="EM45" s="8">
        <v>672</v>
      </c>
      <c r="EN45" s="8">
        <v>66.5</v>
      </c>
      <c r="EO45" s="8">
        <v>605.5</v>
      </c>
      <c r="EP45" s="8">
        <v>0</v>
      </c>
      <c r="EQ45" s="6">
        <f t="shared" si="424"/>
        <v>0</v>
      </c>
      <c r="ER45" s="8">
        <v>0</v>
      </c>
      <c r="ES45" s="6">
        <f t="shared" si="425"/>
        <v>0</v>
      </c>
      <c r="ET45" s="6">
        <v>0</v>
      </c>
      <c r="EU45" s="6">
        <f>(ET45/$EL$4)*100</f>
        <v>0</v>
      </c>
      <c r="EV45" s="8">
        <v>0</v>
      </c>
      <c r="EW45" s="6">
        <f>(EM45/$V$4)*100</f>
        <v>90.322580645161281</v>
      </c>
      <c r="EX45" s="6">
        <f t="shared" si="469"/>
        <v>100</v>
      </c>
      <c r="EY45" s="18">
        <f t="shared" si="470"/>
        <v>0</v>
      </c>
      <c r="EZ45" s="6">
        <f t="shared" ref="EZ45" si="676">(FB45/($EL$4*FC45))*100</f>
        <v>7.1074263038548748</v>
      </c>
      <c r="FA45" s="6">
        <f t="shared" ref="FA45" si="677">SUM(EN45:EP45,ER45,ET45)</f>
        <v>672</v>
      </c>
      <c r="FB45" s="86">
        <v>1003</v>
      </c>
      <c r="FC45" s="8">
        <v>21</v>
      </c>
      <c r="FF45" s="37" t="s">
        <v>48</v>
      </c>
      <c r="FG45" s="8">
        <v>744</v>
      </c>
      <c r="FH45" s="8">
        <v>166.2</v>
      </c>
      <c r="FI45" s="8">
        <v>577.79999999999995</v>
      </c>
      <c r="FJ45" s="8">
        <v>0</v>
      </c>
      <c r="FK45" s="6">
        <f t="shared" si="439"/>
        <v>0</v>
      </c>
      <c r="FL45" s="8">
        <v>0</v>
      </c>
      <c r="FM45" s="6">
        <f t="shared" si="440"/>
        <v>0</v>
      </c>
      <c r="FN45" s="6">
        <v>0</v>
      </c>
      <c r="FO45" s="6">
        <f t="shared" ref="FO45" si="678">(FN45/$FF$4)*100</f>
        <v>0</v>
      </c>
      <c r="FP45" s="8">
        <v>0</v>
      </c>
      <c r="FQ45" s="6">
        <f>(FG45/$V$4)*100</f>
        <v>100</v>
      </c>
      <c r="FR45" s="6">
        <f t="shared" si="473"/>
        <v>100</v>
      </c>
      <c r="FS45" s="18">
        <f t="shared" si="474"/>
        <v>0</v>
      </c>
      <c r="FT45" s="6">
        <f t="shared" ref="FT45" si="679">(FV45/($FF$4*FW45))*100</f>
        <v>15.97542242703533</v>
      </c>
      <c r="FU45" s="6">
        <f t="shared" ref="FU45" si="680">SUM(FH45:FJ45,FL45,FN45)</f>
        <v>744</v>
      </c>
      <c r="FV45" s="86">
        <v>2496</v>
      </c>
      <c r="FW45" s="8">
        <v>21</v>
      </c>
      <c r="FZ45" s="37" t="s">
        <v>48</v>
      </c>
      <c r="GA45" s="8">
        <v>720</v>
      </c>
      <c r="GB45" s="8">
        <v>214.3</v>
      </c>
      <c r="GC45" s="8">
        <v>505.7</v>
      </c>
      <c r="GD45" s="8">
        <v>0</v>
      </c>
      <c r="GE45" s="8">
        <f>(GD45/$FZ$4)</f>
        <v>0</v>
      </c>
      <c r="GF45" s="8">
        <v>0</v>
      </c>
      <c r="GG45" s="8">
        <f t="shared" si="431"/>
        <v>0</v>
      </c>
      <c r="GH45" s="8">
        <v>0</v>
      </c>
      <c r="GI45" s="6">
        <f t="shared" ref="GI45" si="681">(GH45/$FZ$4)*100</f>
        <v>0</v>
      </c>
      <c r="GJ45" s="8">
        <v>0</v>
      </c>
      <c r="GK45" s="6">
        <f>(GA45/$V$4)*100</f>
        <v>96.774193548387103</v>
      </c>
      <c r="GL45" s="8">
        <f t="shared" si="654"/>
        <v>100</v>
      </c>
      <c r="GM45" s="6">
        <f t="shared" si="655"/>
        <v>0</v>
      </c>
      <c r="GN45" s="6">
        <f t="shared" ref="GN45" si="682">(GP45/($FZ$4*GQ45))*100</f>
        <v>21.30952380952381</v>
      </c>
      <c r="GO45" s="6">
        <f t="shared" ref="GO45" si="683">SUM(GB45:GD45,GF45,GH45)</f>
        <v>720</v>
      </c>
      <c r="GP45" s="86">
        <v>3222</v>
      </c>
      <c r="GQ45" s="8">
        <v>21</v>
      </c>
      <c r="GT45" s="37" t="s">
        <v>48</v>
      </c>
      <c r="GU45" s="8">
        <v>744</v>
      </c>
      <c r="GV45" s="8">
        <v>83.1</v>
      </c>
      <c r="GW45" s="8">
        <v>660.9</v>
      </c>
      <c r="GX45" s="8">
        <v>0</v>
      </c>
      <c r="GY45" s="8">
        <f t="shared" si="559"/>
        <v>0</v>
      </c>
      <c r="GZ45" s="8">
        <v>0</v>
      </c>
      <c r="HA45" s="8">
        <f t="shared" si="560"/>
        <v>0</v>
      </c>
      <c r="HB45" s="8">
        <v>0</v>
      </c>
      <c r="HC45" s="6">
        <f t="shared" ref="HC45" si="684">(HB45/$GT$4)*100</f>
        <v>0</v>
      </c>
      <c r="HD45" s="8">
        <v>0</v>
      </c>
      <c r="HE45" s="6">
        <f>(GU45/$GT$4)*100</f>
        <v>100</v>
      </c>
      <c r="HF45" s="8">
        <f t="shared" si="396"/>
        <v>100</v>
      </c>
      <c r="HG45" s="8">
        <f t="shared" si="397"/>
        <v>0</v>
      </c>
      <c r="HH45" s="6">
        <f t="shared" si="656"/>
        <v>8.0133128520225299</v>
      </c>
      <c r="HI45" s="6">
        <f t="shared" ref="HI45" si="685">SUM(GV45:GX45,GZ45,HB45)</f>
        <v>744</v>
      </c>
      <c r="HJ45" s="86">
        <v>1252</v>
      </c>
      <c r="HK45" s="8">
        <v>21</v>
      </c>
      <c r="HN45" s="37" t="s">
        <v>48</v>
      </c>
      <c r="HO45" s="8">
        <v>720</v>
      </c>
      <c r="HP45" s="8">
        <v>124.1</v>
      </c>
      <c r="HQ45" s="8">
        <v>595.9</v>
      </c>
      <c r="HR45" s="8">
        <v>0</v>
      </c>
      <c r="HS45" s="6">
        <f t="shared" ref="HS45" si="686">(HR45/$HN$4)*100</f>
        <v>0</v>
      </c>
      <c r="HT45" s="8">
        <v>0</v>
      </c>
      <c r="HU45" s="6">
        <f t="shared" ref="HU45" si="687">(HT45/$HN$4)*100</f>
        <v>0</v>
      </c>
      <c r="HV45" s="8">
        <v>0</v>
      </c>
      <c r="HW45" s="6">
        <f t="shared" ref="HW45" si="688">(HV45/$HN$4)*100</f>
        <v>0</v>
      </c>
      <c r="HX45" s="8">
        <v>0</v>
      </c>
      <c r="HY45" s="6">
        <f>(HO45/$HN$4)*100</f>
        <v>100</v>
      </c>
      <c r="HZ45" s="21">
        <f>((HO45-HX45)/$HN$4)*100</f>
        <v>100</v>
      </c>
      <c r="IA45" s="6">
        <f t="shared" si="657"/>
        <v>0</v>
      </c>
      <c r="IB45" s="6">
        <f>(ID45/($HN$4*IE45))*100</f>
        <v>12.347883597883598</v>
      </c>
      <c r="IC45" s="6">
        <f t="shared" ref="IC45" si="689">SUM(HP45:HR45,HT45,HV45)</f>
        <v>720</v>
      </c>
      <c r="ID45" s="46">
        <v>1867</v>
      </c>
      <c r="IE45" s="8">
        <v>21</v>
      </c>
      <c r="IF45" s="15">
        <v>21</v>
      </c>
    </row>
    <row r="46" spans="1:240" ht="15" x14ac:dyDescent="0.25">
      <c r="B46" s="95" t="s">
        <v>39</v>
      </c>
      <c r="C46" s="25">
        <f>SUM(C44:C45)</f>
        <v>744</v>
      </c>
      <c r="D46" s="25">
        <f t="shared" ref="D46" si="690">SUM(D44:D45)</f>
        <v>37.5</v>
      </c>
      <c r="E46" s="25">
        <f>SUM(E44:E45)</f>
        <v>706.5</v>
      </c>
      <c r="F46" s="25">
        <f t="shared" ref="F46:L46" si="691">SUM(F44:F45)</f>
        <v>0</v>
      </c>
      <c r="G46" s="26">
        <f>(G44*S44+G45*S45)/S46</f>
        <v>0</v>
      </c>
      <c r="H46" s="25">
        <f t="shared" si="691"/>
        <v>744</v>
      </c>
      <c r="I46" s="26">
        <f>(I44*S44+I45*S45)/S46</f>
        <v>50</v>
      </c>
      <c r="J46" s="26">
        <f>SUM(J44:J45)</f>
        <v>0</v>
      </c>
      <c r="K46" s="30">
        <f>(K44*S44+K45*S45)/S46</f>
        <v>0</v>
      </c>
      <c r="L46" s="25">
        <f t="shared" si="691"/>
        <v>0</v>
      </c>
      <c r="M46" s="26">
        <f>(M44*S44+M45*S45)/S46</f>
        <v>50</v>
      </c>
      <c r="N46" s="7">
        <f>(N44*S44+N45*S45)/S46</f>
        <v>50</v>
      </c>
      <c r="O46" s="7">
        <f>(O44*S44+O45*S45)/S46</f>
        <v>0</v>
      </c>
      <c r="P46" s="7">
        <f>(P44*S44+P45*S45)/S46</f>
        <v>1.9233230926779314</v>
      </c>
      <c r="Q46" s="30">
        <f>SUM(Q44:Q45)</f>
        <v>1488</v>
      </c>
      <c r="R46" s="25">
        <f>SUM(R44:R45)</f>
        <v>601</v>
      </c>
      <c r="S46" s="25">
        <f>SUM(S44:S45)</f>
        <v>42</v>
      </c>
      <c r="V46" s="87" t="s">
        <v>39</v>
      </c>
      <c r="W46" s="29">
        <f>SUM(W44:W45)</f>
        <v>744</v>
      </c>
      <c r="X46" s="29">
        <f t="shared" ref="X46:Z46" si="692">SUM(X44:X45)</f>
        <v>162.9</v>
      </c>
      <c r="Y46" s="29">
        <f>SUM(Y44:Y45)</f>
        <v>581.1</v>
      </c>
      <c r="Z46" s="29">
        <f t="shared" si="692"/>
        <v>0</v>
      </c>
      <c r="AA46" s="30">
        <f>(AA44*AM44+AA45*AM45)/AM46</f>
        <v>0</v>
      </c>
      <c r="AB46" s="29">
        <f t="shared" ref="AB46:AF46" si="693">SUM(AB44:AB45)</f>
        <v>744</v>
      </c>
      <c r="AC46" s="30">
        <f>(AC44*AM44+AC45*AM45)/AM46</f>
        <v>50</v>
      </c>
      <c r="AD46" s="30">
        <f>SUM(AD44:AD45)</f>
        <v>0</v>
      </c>
      <c r="AE46" s="30">
        <f>SUM(AE44:AE45)</f>
        <v>0</v>
      </c>
      <c r="AF46" s="29">
        <f t="shared" si="693"/>
        <v>0</v>
      </c>
      <c r="AG46" s="26">
        <f>(AG44*AM44+AG45*AM45)/AM46</f>
        <v>50</v>
      </c>
      <c r="AH46" s="30">
        <f>(AH44*AM44+AH45*AM45)/AM46</f>
        <v>50</v>
      </c>
      <c r="AI46" s="30">
        <f>(AI44*AM44+AI45*AM45)/AM46</f>
        <v>0</v>
      </c>
      <c r="AJ46" s="7">
        <f>(AJ44*AM44+AJ45*AM45)/AM46</f>
        <v>8.3685355862775221</v>
      </c>
      <c r="AK46" s="30">
        <f>SUM(AK44:AK45)</f>
        <v>1488</v>
      </c>
      <c r="AL46" s="33">
        <f>SUM(AL44:AL45)</f>
        <v>2615</v>
      </c>
      <c r="AM46" s="29">
        <f>SUM(AM44:AM45)</f>
        <v>42</v>
      </c>
      <c r="AP46" s="87" t="s">
        <v>39</v>
      </c>
      <c r="AQ46" s="29">
        <f>SUM(AQ44:AQ45)</f>
        <v>600</v>
      </c>
      <c r="AR46" s="29">
        <f t="shared" ref="AR46:AT46" si="694">SUM(AR44:AR45)</f>
        <v>143.69999999999999</v>
      </c>
      <c r="AS46" s="29">
        <f>SUM(AS44:AS45)</f>
        <v>456.3</v>
      </c>
      <c r="AT46" s="29">
        <f t="shared" si="694"/>
        <v>120</v>
      </c>
      <c r="AU46" s="30">
        <f>(AU44*BG44+AU45*BG45)/BG46</f>
        <v>8.3333333333333321</v>
      </c>
      <c r="AV46" s="29">
        <f t="shared" ref="AV46:AZ46" si="695">SUM(AV44:AV45)</f>
        <v>720</v>
      </c>
      <c r="AW46" s="30">
        <f>(AW44*BG44+AW45*BG45)/BG46</f>
        <v>50</v>
      </c>
      <c r="AX46" s="30">
        <f>SUM(AX44:AX45)</f>
        <v>0</v>
      </c>
      <c r="AY46" s="30">
        <f>(AY44*BG44+AY45*BG45)/BG46</f>
        <v>0</v>
      </c>
      <c r="AZ46" s="29">
        <f t="shared" si="695"/>
        <v>0</v>
      </c>
      <c r="BA46" s="26">
        <f>(BA44*BG44+BA45*BG45)/BG46</f>
        <v>41.666666666666671</v>
      </c>
      <c r="BB46" s="30">
        <f>(BB44*BG44+BB45*BG45)/BG46</f>
        <v>41.666666666666671</v>
      </c>
      <c r="BC46" s="30">
        <f>(BC44*BG44+BC45*BG45)/BG46</f>
        <v>22.753128555176339</v>
      </c>
      <c r="BD46" s="7">
        <f>(BD44*BG44+BD45*BG45)/BG46</f>
        <v>7.5760582010582009</v>
      </c>
      <c r="BE46" s="30">
        <f>SUM(BE44:BE45)</f>
        <v>1440</v>
      </c>
      <c r="BF46" s="33">
        <f>SUM(BF44:BF45)</f>
        <v>2291</v>
      </c>
      <c r="BG46" s="29">
        <f>SUM(BG44:BG45)</f>
        <v>42</v>
      </c>
      <c r="BJ46" s="87" t="s">
        <v>39</v>
      </c>
      <c r="BK46" s="29">
        <f>SUM(BK44:BK45)</f>
        <v>576</v>
      </c>
      <c r="BL46" s="29">
        <f t="shared" ref="BL46:BN46" si="696">SUM(BL44:BL45)</f>
        <v>86.9</v>
      </c>
      <c r="BM46" s="29">
        <f>SUM(BM44:BM45)</f>
        <v>489.1</v>
      </c>
      <c r="BN46" s="29">
        <f t="shared" si="696"/>
        <v>168</v>
      </c>
      <c r="BO46" s="30">
        <f>(BO44*CA44+BO45*CA45)/CA46</f>
        <v>11.29032258064516</v>
      </c>
      <c r="BP46" s="29">
        <f t="shared" ref="BP46:BT46" si="697">SUM(BP44:BP45)</f>
        <v>744</v>
      </c>
      <c r="BQ46" s="30">
        <f>(BQ44*CA44+BQ45*CA45)/CA46</f>
        <v>50</v>
      </c>
      <c r="BR46" s="30">
        <f>SUM(BR44:BR45)</f>
        <v>0</v>
      </c>
      <c r="BS46" s="30">
        <f>(BS44*CA44+BS45*CA45)/CA46</f>
        <v>0</v>
      </c>
      <c r="BT46" s="29">
        <f t="shared" si="697"/>
        <v>0</v>
      </c>
      <c r="BU46" s="26">
        <f>(BU44*CA44+BU45*CA45)/CA46</f>
        <v>38.70967741935484</v>
      </c>
      <c r="BV46" s="30">
        <f>(BV44*CA44+BV45*CA45)/CA46</f>
        <v>38.70967741935484</v>
      </c>
      <c r="BW46" s="30">
        <f>(BW44*CA44+BW45*CA45)/CA46</f>
        <v>32.954099646920362</v>
      </c>
      <c r="BX46" s="7">
        <f>(BX44*CA44+BX45*CA45)/CA46</f>
        <v>4.2114695340501793</v>
      </c>
      <c r="BY46" s="30">
        <f>SUM(BY44:BY45)</f>
        <v>1488</v>
      </c>
      <c r="BZ46" s="89">
        <f>SUM(BZ44:BZ45)</f>
        <v>1316</v>
      </c>
      <c r="CA46" s="29">
        <f>SUM(CA44:CA45)</f>
        <v>42</v>
      </c>
      <c r="CD46" s="87" t="s">
        <v>39</v>
      </c>
      <c r="CE46" s="29">
        <f>SUM(CE44:CE45)</f>
        <v>720</v>
      </c>
      <c r="CF46" s="29">
        <f t="shared" ref="CF46:CH46" si="698">SUM(CF44:CF45)</f>
        <v>17</v>
      </c>
      <c r="CG46" s="29">
        <f>SUM(CG44:CG45)</f>
        <v>703</v>
      </c>
      <c r="CH46" s="29">
        <f t="shared" si="698"/>
        <v>0</v>
      </c>
      <c r="CI46" s="30">
        <f>(CI44*CU44+CI45*CU45)/CU46</f>
        <v>0</v>
      </c>
      <c r="CJ46" s="29">
        <f t="shared" ref="CJ46:CN46" si="699">SUM(CJ44:CJ45)</f>
        <v>720</v>
      </c>
      <c r="CK46" s="30">
        <f>(CK44*CU44+CK45*CU45)/CU46</f>
        <v>50</v>
      </c>
      <c r="CL46" s="30">
        <f>SUM(CL44:CL45)</f>
        <v>0</v>
      </c>
      <c r="CM46" s="26">
        <f>(CM44*CU44+CM45*CU45)/CU46</f>
        <v>0</v>
      </c>
      <c r="CN46" s="29">
        <f t="shared" si="699"/>
        <v>0</v>
      </c>
      <c r="CO46" s="26">
        <f>(CO44*CU44+CO45*CU45)/CU46</f>
        <v>50</v>
      </c>
      <c r="CP46" s="30">
        <f>(CP44*CU44+CP45*CU45)/CU46</f>
        <v>50</v>
      </c>
      <c r="CQ46" s="30">
        <f>(CQ44*CU44+CQ45*CU45)/CU46</f>
        <v>0</v>
      </c>
      <c r="CR46" s="7">
        <f>(CR44*CU44+CR45*CU45)/CU46</f>
        <v>0.86640211640211628</v>
      </c>
      <c r="CS46" s="30">
        <f>SUM(CS44:CS45)</f>
        <v>1440</v>
      </c>
      <c r="CT46" s="29">
        <f>SUM(CT44:CT45)</f>
        <v>262</v>
      </c>
      <c r="CU46" s="29">
        <f>SUM(CU44:CU45)</f>
        <v>42</v>
      </c>
      <c r="CX46" s="87" t="s">
        <v>39</v>
      </c>
      <c r="CY46" s="29">
        <f>SUM(CY44:CY45)</f>
        <v>768</v>
      </c>
      <c r="CZ46" s="29">
        <f t="shared" ref="CZ46:DB46" si="700">SUM(CZ44:CZ45)</f>
        <v>31.2</v>
      </c>
      <c r="DA46" s="29">
        <f>SUM(DA44:DA45)</f>
        <v>736.8</v>
      </c>
      <c r="DB46" s="29">
        <f t="shared" si="700"/>
        <v>0</v>
      </c>
      <c r="DC46" s="30">
        <f>(DC44*DO44+DC45*DO45)/DO46</f>
        <v>0</v>
      </c>
      <c r="DD46" s="29">
        <f t="shared" ref="DD46:DH46" si="701">SUM(DD44:DD45)</f>
        <v>720</v>
      </c>
      <c r="DE46" s="30">
        <f>(DE44*DO44+DE45*DO45)/DO46</f>
        <v>48.387096774193552</v>
      </c>
      <c r="DF46" s="30">
        <f>SUM(DF44:DF45)</f>
        <v>0</v>
      </c>
      <c r="DG46" s="30">
        <f>(DG44*DO44+DG45*DO45)/DO46</f>
        <v>0</v>
      </c>
      <c r="DH46" s="29">
        <f t="shared" si="701"/>
        <v>0</v>
      </c>
      <c r="DI46" s="26">
        <f>(DI44*DO44+DI45*DO45)/DO46</f>
        <v>51.612903225806448</v>
      </c>
      <c r="DJ46" s="30">
        <f>(DJ44*DO44+DJ45*DO45)/DO46</f>
        <v>51.612903225806448</v>
      </c>
      <c r="DK46" s="30">
        <f>(DK44*DO44+DK45*DO45)/DO46</f>
        <v>0</v>
      </c>
      <c r="DL46" s="7">
        <f>(DL44*DO44+DL45*DO45)/DO46</f>
        <v>1.5584997439836148</v>
      </c>
      <c r="DM46" s="30">
        <f>SUM(DM44:DM45)</f>
        <v>1488</v>
      </c>
      <c r="DN46" s="29">
        <f>SUM(DN44:DN45)</f>
        <v>487</v>
      </c>
      <c r="DO46" s="29">
        <f>SUM(DO44:DO45)</f>
        <v>42</v>
      </c>
      <c r="DR46" s="87" t="s">
        <v>39</v>
      </c>
      <c r="DS46" s="29">
        <f>SUM(DS44:DS45)</f>
        <v>744</v>
      </c>
      <c r="DT46" s="29">
        <f t="shared" ref="DT46:DV46" si="702">SUM(DT44:DT45)</f>
        <v>100.7</v>
      </c>
      <c r="DU46" s="29">
        <f>SUM(DU44:DU45)</f>
        <v>643.29999999999995</v>
      </c>
      <c r="DV46" s="29">
        <f t="shared" si="702"/>
        <v>0</v>
      </c>
      <c r="DW46" s="30">
        <f>(DW44*EI44+DW45*EI45)/EI46</f>
        <v>0</v>
      </c>
      <c r="DX46" s="29">
        <f t="shared" ref="DX46:EB46" si="703">SUM(DX44:DX45)</f>
        <v>744</v>
      </c>
      <c r="DY46" s="30">
        <f>(DY44*EI44+DY45*EI45)/EI46</f>
        <v>50</v>
      </c>
      <c r="DZ46" s="30">
        <f>SUM(DZ44:DZ45)</f>
        <v>0</v>
      </c>
      <c r="EA46" s="30">
        <f>(EA44*EI44+EA45*EI45)/EI46</f>
        <v>0</v>
      </c>
      <c r="EB46" s="29">
        <f t="shared" si="703"/>
        <v>0</v>
      </c>
      <c r="EC46" s="26">
        <f>(EC44*EI44+EC45*EI45)/EI46</f>
        <v>50</v>
      </c>
      <c r="ED46" s="30">
        <f>(ED44*EI44+ED45*EI45)/EI46</f>
        <v>50</v>
      </c>
      <c r="EE46" s="30">
        <f>(EE44*EI44+EE45*EI45)/EI46</f>
        <v>0</v>
      </c>
      <c r="EF46" s="7">
        <f>(EF44*EI44+EF45*EI45)/EI46</f>
        <v>4.7939068100358426</v>
      </c>
      <c r="EG46" s="30">
        <f>SUM(EG44:EG45)</f>
        <v>1488</v>
      </c>
      <c r="EH46" s="89">
        <f>SUM(EH44:EH45)</f>
        <v>1498</v>
      </c>
      <c r="EI46" s="29">
        <f>SUM(EI44:EI45)</f>
        <v>42</v>
      </c>
      <c r="EL46" s="87" t="s">
        <v>39</v>
      </c>
      <c r="EM46" s="29">
        <f>SUM(EM44:EM45)</f>
        <v>672</v>
      </c>
      <c r="EN46" s="29">
        <f t="shared" ref="EN46:EP46" si="704">SUM(EN44:EN45)</f>
        <v>66.5</v>
      </c>
      <c r="EO46" s="29">
        <f>SUM(EO44:EO45)</f>
        <v>605.5</v>
      </c>
      <c r="EP46" s="29">
        <f t="shared" si="704"/>
        <v>0</v>
      </c>
      <c r="EQ46" s="30">
        <f>(EQ44*FC44+EQ45*FC45)/FC46</f>
        <v>0</v>
      </c>
      <c r="ER46" s="29">
        <f t="shared" ref="ER46:EV46" si="705">SUM(ER44:ER45)</f>
        <v>672</v>
      </c>
      <c r="ES46" s="30">
        <f>(ES44*FC44+ES45*FC45)/FC46</f>
        <v>50</v>
      </c>
      <c r="ET46" s="30">
        <f>SUM(ET44:ET45)</f>
        <v>0</v>
      </c>
      <c r="EU46" s="30">
        <f>(EU44*FC44+EU45*FC45)/FC46</f>
        <v>0</v>
      </c>
      <c r="EV46" s="29">
        <f t="shared" si="705"/>
        <v>0</v>
      </c>
      <c r="EW46" s="26">
        <f>(EW44*FC44+EW45*FC45)/FC46</f>
        <v>45.161290322580641</v>
      </c>
      <c r="EX46" s="30">
        <f>(EX44*FC44+EX45*FC45)/FC46</f>
        <v>50</v>
      </c>
      <c r="EY46" s="30">
        <f>(EY44*FC44+EY45*FC45)/FC46</f>
        <v>0</v>
      </c>
      <c r="EZ46" s="7">
        <f>(EZ44*FC44+EZ45*FC45)/FC46</f>
        <v>3.5537131519274374</v>
      </c>
      <c r="FA46" s="30">
        <f>SUM(FA44:FA45)</f>
        <v>1344</v>
      </c>
      <c r="FB46" s="33">
        <f>SUM(FB44:FB45)</f>
        <v>1003</v>
      </c>
      <c r="FC46" s="29">
        <f>SUM(FC44:FC45)</f>
        <v>42</v>
      </c>
      <c r="FF46" s="87" t="s">
        <v>39</v>
      </c>
      <c r="FG46" s="29">
        <f>SUM(FG44:FG45)</f>
        <v>744</v>
      </c>
      <c r="FH46" s="29">
        <f t="shared" ref="FH46:FJ46" si="706">SUM(FH44:FH45)</f>
        <v>166.2</v>
      </c>
      <c r="FI46" s="29">
        <f>SUM(FI44:FI45)</f>
        <v>577.79999999999995</v>
      </c>
      <c r="FJ46" s="29">
        <f t="shared" si="706"/>
        <v>0</v>
      </c>
      <c r="FK46" s="30">
        <f>(FK44*FW44+FK45*FW45)/FW46</f>
        <v>0</v>
      </c>
      <c r="FL46" s="29">
        <f t="shared" ref="FL46:FP46" si="707">SUM(FL44:FL45)</f>
        <v>744</v>
      </c>
      <c r="FM46" s="30">
        <f>(FM44*FW44+FM45*FW45)/FW46</f>
        <v>50</v>
      </c>
      <c r="FN46" s="30">
        <f>SUM(FN44:FN45)</f>
        <v>0</v>
      </c>
      <c r="FO46" s="30">
        <f>(FO44*FW44+FO45*FW45)/FW46</f>
        <v>0</v>
      </c>
      <c r="FP46" s="29">
        <f t="shared" si="707"/>
        <v>0</v>
      </c>
      <c r="FQ46" s="26">
        <f>(FQ44*FW44+FQ45*FW45)/FW46</f>
        <v>50</v>
      </c>
      <c r="FR46" s="30">
        <f>(FR44*FW44+FR45*FW45)/FW46</f>
        <v>50</v>
      </c>
      <c r="FS46" s="30">
        <f>(FS44*FW44+FS45*FW45)/FW46</f>
        <v>0</v>
      </c>
      <c r="FT46" s="7">
        <f>(FT44*FW44+FT45*FW45)/FW46</f>
        <v>7.9877112135176658</v>
      </c>
      <c r="FU46" s="30">
        <f>SUM(FU44:FU45)</f>
        <v>1488</v>
      </c>
      <c r="FV46" s="33">
        <f>SUM(FV44:FV45)</f>
        <v>2496</v>
      </c>
      <c r="FW46" s="29">
        <f>SUM(FW44:FW45)</f>
        <v>42</v>
      </c>
      <c r="FZ46" s="95" t="s">
        <v>39</v>
      </c>
      <c r="GA46" s="29">
        <f>SUM(GA44:GA45)</f>
        <v>720</v>
      </c>
      <c r="GB46" s="29">
        <f t="shared" ref="GB46:GD46" si="708">SUM(GB44:GB45)</f>
        <v>214.3</v>
      </c>
      <c r="GC46" s="29">
        <f>SUM(GC44:GC45)</f>
        <v>505.7</v>
      </c>
      <c r="GD46" s="29">
        <f t="shared" si="708"/>
        <v>0</v>
      </c>
      <c r="GE46" s="79">
        <f>(GE44*GQ44+GE45*GQ45)/GQ46</f>
        <v>0</v>
      </c>
      <c r="GF46" s="29">
        <f t="shared" ref="GF46:GJ46" si="709">SUM(GF44:GF45)</f>
        <v>720</v>
      </c>
      <c r="GG46" s="30">
        <f>(GG44*GQ44+GG45*GQ45)/GQ46</f>
        <v>50</v>
      </c>
      <c r="GH46" s="30">
        <f>SUM(GH44:GH45)</f>
        <v>0</v>
      </c>
      <c r="GI46" s="26">
        <f>(GI44*GQ44+GI45*GQ45)/GQ46</f>
        <v>0</v>
      </c>
      <c r="GJ46" s="29">
        <f t="shared" si="709"/>
        <v>0</v>
      </c>
      <c r="GK46" s="26">
        <f>(GK44*GQ44+GK45*GQ45)/GQ46</f>
        <v>48.387096774193552</v>
      </c>
      <c r="GL46" s="30">
        <f>(GL44*GQ44+GL45*GQ45)/GQ46</f>
        <v>50</v>
      </c>
      <c r="GM46" s="30">
        <f>(GM44*GQ44+GM45*GQ45)/GQ46</f>
        <v>0</v>
      </c>
      <c r="GN46" s="7">
        <f>(GN44*GQ44+GN45*GQ45)/GQ46</f>
        <v>10.654761904761905</v>
      </c>
      <c r="GO46" s="30">
        <f>SUM(GO44:GO45)</f>
        <v>1440</v>
      </c>
      <c r="GP46" s="89">
        <f>SUM(GP44:GP45)</f>
        <v>3222</v>
      </c>
      <c r="GQ46" s="29">
        <f>SUM(GQ44:GQ45)</f>
        <v>42</v>
      </c>
      <c r="GT46" s="87" t="s">
        <v>39</v>
      </c>
      <c r="GU46" s="29">
        <f>SUM(GU44:GU45)</f>
        <v>744</v>
      </c>
      <c r="GV46" s="29">
        <f t="shared" ref="GV46:GX46" si="710">SUM(GV44:GV45)</f>
        <v>83.1</v>
      </c>
      <c r="GW46" s="29">
        <f>SUM(GW44:GW45)</f>
        <v>660.9</v>
      </c>
      <c r="GX46" s="29">
        <f t="shared" si="710"/>
        <v>0</v>
      </c>
      <c r="GY46" s="30">
        <f>(GY44*HK44+GY45*HK45)/HK46</f>
        <v>0</v>
      </c>
      <c r="GZ46" s="29">
        <f t="shared" ref="GZ46:HD46" si="711">SUM(GZ44:GZ45)</f>
        <v>744</v>
      </c>
      <c r="HA46" s="30">
        <f>(HA44*HK44+HA45*HK45)/HK46</f>
        <v>50</v>
      </c>
      <c r="HB46" s="30">
        <f>SUM(HB44:HB45)</f>
        <v>0</v>
      </c>
      <c r="HC46" s="26">
        <f>(HC44*HK44+HC45*HK45)/HK46</f>
        <v>0</v>
      </c>
      <c r="HD46" s="29">
        <f t="shared" si="711"/>
        <v>0</v>
      </c>
      <c r="HE46" s="26">
        <f>(HE44*HK44+HE45*HK45)/HK46</f>
        <v>50</v>
      </c>
      <c r="HF46" s="30">
        <f>(HF44*HK44+HF45*HK45)/HK46</f>
        <v>50</v>
      </c>
      <c r="HG46" s="30">
        <f>(HG44*HK44+HG45*HK45)/HK46</f>
        <v>0</v>
      </c>
      <c r="HH46" s="7">
        <f>(HH44*HK44+HH45*HK45)/HK46</f>
        <v>4.0066564260112649</v>
      </c>
      <c r="HI46" s="30">
        <f>SUM(HI44:HI45)</f>
        <v>1488</v>
      </c>
      <c r="HJ46" s="89">
        <f>SUM(HJ44:HJ45)</f>
        <v>1252</v>
      </c>
      <c r="HK46" s="29">
        <f>SUM(HK44:HK45)</f>
        <v>42</v>
      </c>
      <c r="HN46" s="87" t="s">
        <v>39</v>
      </c>
      <c r="HO46" s="90">
        <f>SUM(HO44:HO45)</f>
        <v>720</v>
      </c>
      <c r="HP46" s="90">
        <f t="shared" ref="HP46" si="712">SUM(HP44:HP45)</f>
        <v>124.1</v>
      </c>
      <c r="HQ46" s="90">
        <f>SUM(HQ44:HQ45)</f>
        <v>595.9</v>
      </c>
      <c r="HR46" s="90">
        <f t="shared" ref="HR46" si="713">SUM(HR44:HR45)</f>
        <v>0</v>
      </c>
      <c r="HS46" s="26">
        <f>(HS44*IE44+HS45*IE45)/IE46</f>
        <v>0</v>
      </c>
      <c r="HT46" s="29">
        <f>SUM(HT44:HT45)</f>
        <v>720</v>
      </c>
      <c r="HU46" s="26">
        <f>(HU44*IE44+HU45*IE45)/IE46</f>
        <v>50</v>
      </c>
      <c r="HV46" s="29">
        <f>SUM(HV44:HV45)</f>
        <v>0</v>
      </c>
      <c r="HW46" s="26">
        <f>(HW44*IE44+HW45*IE45)/IE46</f>
        <v>0</v>
      </c>
      <c r="HX46" s="29">
        <f>SUM(HX44:HX45)</f>
        <v>0</v>
      </c>
      <c r="HY46" s="30">
        <f>(HY44*IE44+HY45*IE45)/IE46</f>
        <v>50</v>
      </c>
      <c r="HZ46" s="193">
        <f>(HZ44*IE44+HZ45*IE45)/IE46</f>
        <v>50</v>
      </c>
      <c r="IA46" s="193">
        <f>(IA44*IE44+IA45*IE45)/IE46</f>
        <v>0</v>
      </c>
      <c r="IB46" s="193">
        <f>(IB44*IE44+IB45*IE45)/IE46</f>
        <v>6.1739417989417991</v>
      </c>
      <c r="IC46" s="30">
        <f>SUM(IC44:IC45)</f>
        <v>1440</v>
      </c>
      <c r="ID46" s="47">
        <f>SUM(ID44:ID45)</f>
        <v>1867</v>
      </c>
      <c r="IE46" s="29">
        <f>SUM(IE44:IE45)</f>
        <v>42</v>
      </c>
      <c r="IF46" s="15"/>
    </row>
    <row r="47" spans="1:240" ht="15" x14ac:dyDescent="0.25">
      <c r="A47" s="74" t="s">
        <v>57</v>
      </c>
      <c r="B47" s="37" t="s">
        <v>47</v>
      </c>
      <c r="C47" s="8">
        <v>0</v>
      </c>
      <c r="D47" s="8">
        <v>0</v>
      </c>
      <c r="E47" s="8">
        <v>0</v>
      </c>
      <c r="F47" s="8">
        <v>744</v>
      </c>
      <c r="G47" s="6">
        <f t="shared" si="339"/>
        <v>100</v>
      </c>
      <c r="H47" s="8">
        <v>0</v>
      </c>
      <c r="I47" s="6">
        <f t="shared" si="340"/>
        <v>0</v>
      </c>
      <c r="J47" s="6">
        <v>0</v>
      </c>
      <c r="K47" s="6">
        <f t="shared" si="524"/>
        <v>0</v>
      </c>
      <c r="L47" s="8">
        <v>0</v>
      </c>
      <c r="M47" s="6">
        <f>(C47/$B$4)*100</f>
        <v>0</v>
      </c>
      <c r="N47" s="8">
        <f t="shared" si="525"/>
        <v>0</v>
      </c>
      <c r="O47" s="8">
        <f t="shared" si="526"/>
        <v>100</v>
      </c>
      <c r="P47" s="6">
        <f>(R47/($B$4*S47))*100</f>
        <v>0</v>
      </c>
      <c r="Q47" s="6">
        <f>SUM(D47:F47,H47,J47)</f>
        <v>744</v>
      </c>
      <c r="R47" s="8">
        <v>0</v>
      </c>
      <c r="S47" s="8">
        <v>21</v>
      </c>
      <c r="U47" s="74" t="s">
        <v>57</v>
      </c>
      <c r="V47" s="37" t="s">
        <v>47</v>
      </c>
      <c r="W47" s="8">
        <v>0</v>
      </c>
      <c r="X47" s="8">
        <v>0</v>
      </c>
      <c r="Y47" s="8">
        <v>0</v>
      </c>
      <c r="Z47" s="8">
        <v>744</v>
      </c>
      <c r="AA47" s="8">
        <f t="shared" si="645"/>
        <v>100</v>
      </c>
      <c r="AB47" s="8">
        <v>0</v>
      </c>
      <c r="AC47" s="8">
        <f t="shared" si="646"/>
        <v>0</v>
      </c>
      <c r="AD47" s="8">
        <v>0</v>
      </c>
      <c r="AE47" s="6">
        <f t="shared" ref="AE47:AE48" si="714">(AD47/$V$4)*100</f>
        <v>0</v>
      </c>
      <c r="AF47" s="8">
        <v>0</v>
      </c>
      <c r="AG47" s="6">
        <f>(W47/$V$4)*100</f>
        <v>0</v>
      </c>
      <c r="AH47" s="8">
        <f t="shared" si="647"/>
        <v>0</v>
      </c>
      <c r="AI47" s="8">
        <f t="shared" si="648"/>
        <v>100</v>
      </c>
      <c r="AJ47" s="6">
        <f>(AL47/($V$4*AM47))*100</f>
        <v>0</v>
      </c>
      <c r="AK47" s="6">
        <f>SUM(X47:Z47,AB47,AD47)</f>
        <v>744</v>
      </c>
      <c r="AL47" s="8">
        <v>0</v>
      </c>
      <c r="AM47" s="8">
        <v>21</v>
      </c>
      <c r="AO47" s="74" t="s">
        <v>57</v>
      </c>
      <c r="AP47" s="37" t="s">
        <v>47</v>
      </c>
      <c r="AQ47" s="8">
        <v>0</v>
      </c>
      <c r="AR47" s="8">
        <v>0</v>
      </c>
      <c r="AS47" s="8">
        <v>0</v>
      </c>
      <c r="AT47" s="8">
        <v>720</v>
      </c>
      <c r="AU47" s="8">
        <f t="shared" si="121"/>
        <v>100</v>
      </c>
      <c r="AV47" s="8">
        <v>0</v>
      </c>
      <c r="AW47" s="8">
        <f t="shared" si="122"/>
        <v>0</v>
      </c>
      <c r="AX47" s="8">
        <v>0</v>
      </c>
      <c r="AY47" s="6">
        <f>(AX47/$AP$4)*100</f>
        <v>0</v>
      </c>
      <c r="AZ47" s="8">
        <v>0</v>
      </c>
      <c r="BA47" s="6">
        <f>(AQ47/$AP$4)*100</f>
        <v>0</v>
      </c>
      <c r="BB47" s="6">
        <f t="shared" si="456"/>
        <v>0</v>
      </c>
      <c r="BC47" s="15">
        <f t="shared" si="457"/>
        <v>100</v>
      </c>
      <c r="BD47" s="6">
        <f t="shared" ref="BD47:BD48" si="715">(BF47/($AP$4*BG47))*100</f>
        <v>0</v>
      </c>
      <c r="BE47" s="6">
        <f>SUM(AR47:AT47,AV47,AX47)</f>
        <v>720</v>
      </c>
      <c r="BF47" s="8">
        <v>0</v>
      </c>
      <c r="BG47" s="8">
        <v>21</v>
      </c>
      <c r="BI47" s="74" t="s">
        <v>57</v>
      </c>
      <c r="BJ47" s="37" t="s">
        <v>47</v>
      </c>
      <c r="BK47" s="8">
        <v>0</v>
      </c>
      <c r="BL47" s="8">
        <v>0</v>
      </c>
      <c r="BM47" s="8">
        <v>0</v>
      </c>
      <c r="BN47" s="8">
        <v>744</v>
      </c>
      <c r="BO47" s="6">
        <f t="shared" si="126"/>
        <v>100</v>
      </c>
      <c r="BP47" s="8">
        <v>0</v>
      </c>
      <c r="BQ47" s="8">
        <f t="shared" si="127"/>
        <v>0</v>
      </c>
      <c r="BR47" s="8">
        <v>0</v>
      </c>
      <c r="BS47" s="6">
        <f>(BR47/$BJ$4)*100</f>
        <v>0</v>
      </c>
      <c r="BT47" s="8">
        <v>0</v>
      </c>
      <c r="BU47" s="6">
        <f t="shared" ref="BU47:BU48" si="716">(BK47/$BJ$4)*100</f>
        <v>0</v>
      </c>
      <c r="BV47" s="6">
        <f t="shared" si="460"/>
        <v>0</v>
      </c>
      <c r="BW47" s="6">
        <f t="shared" si="461"/>
        <v>100</v>
      </c>
      <c r="BX47" s="6">
        <f t="shared" ref="BX47:BX48" si="717">(BZ47/($BJ$4*CA47))*100</f>
        <v>0</v>
      </c>
      <c r="BY47" s="6">
        <f>SUM(BL47:BN47,BP47,BR47)</f>
        <v>744</v>
      </c>
      <c r="BZ47" s="8">
        <v>0</v>
      </c>
      <c r="CA47" s="8">
        <v>21</v>
      </c>
      <c r="CC47" s="74" t="s">
        <v>57</v>
      </c>
      <c r="CD47" s="37" t="s">
        <v>47</v>
      </c>
      <c r="CE47" s="8">
        <v>0</v>
      </c>
      <c r="CF47" s="8">
        <v>0</v>
      </c>
      <c r="CG47" s="8">
        <v>0</v>
      </c>
      <c r="CH47" s="8">
        <v>720</v>
      </c>
      <c r="CI47" s="8">
        <f t="shared" si="651"/>
        <v>100</v>
      </c>
      <c r="CJ47" s="8">
        <v>0</v>
      </c>
      <c r="CK47" s="8">
        <f t="shared" si="651"/>
        <v>0</v>
      </c>
      <c r="CL47" s="8">
        <v>0</v>
      </c>
      <c r="CM47" s="6">
        <f>(CL47/$CD$4)*100</f>
        <v>0</v>
      </c>
      <c r="CN47" s="8">
        <v>0</v>
      </c>
      <c r="CO47" s="6">
        <f>(CE47/$CD$4)*100</f>
        <v>0</v>
      </c>
      <c r="CP47" s="6">
        <f t="shared" si="132"/>
        <v>0</v>
      </c>
      <c r="CQ47" s="18">
        <f t="shared" si="415"/>
        <v>100</v>
      </c>
      <c r="CR47" s="6">
        <f t="shared" ref="CR47:CR48" si="718">(CT47/($CD$4*CU47))*100</f>
        <v>0</v>
      </c>
      <c r="CS47" s="6">
        <f>SUM(CF47:CH47,CJ47,CL47)</f>
        <v>720</v>
      </c>
      <c r="CT47" s="8">
        <v>0</v>
      </c>
      <c r="CU47" s="8">
        <v>21</v>
      </c>
      <c r="CW47" s="74" t="s">
        <v>57</v>
      </c>
      <c r="CX47" s="37" t="s">
        <v>47</v>
      </c>
      <c r="CY47" s="8">
        <v>0</v>
      </c>
      <c r="CZ47" s="8">
        <v>0</v>
      </c>
      <c r="DA47" s="8">
        <v>0</v>
      </c>
      <c r="DB47" s="8">
        <v>744</v>
      </c>
      <c r="DC47" s="6">
        <f t="shared" si="416"/>
        <v>100</v>
      </c>
      <c r="DD47" s="8">
        <v>0</v>
      </c>
      <c r="DE47" s="6">
        <f t="shared" si="417"/>
        <v>0</v>
      </c>
      <c r="DF47" s="6">
        <v>0</v>
      </c>
      <c r="DG47" s="6">
        <f>(DF47/$CX$4)*100</f>
        <v>0</v>
      </c>
      <c r="DH47" s="8">
        <v>0</v>
      </c>
      <c r="DI47" s="6">
        <f>(CY47/$V$4)*100</f>
        <v>0</v>
      </c>
      <c r="DJ47" s="6">
        <f t="shared" si="464"/>
        <v>0</v>
      </c>
      <c r="DK47" s="18">
        <f t="shared" si="465"/>
        <v>100</v>
      </c>
      <c r="DL47" s="6">
        <f>(DN47/($CX$4*DO47))*100</f>
        <v>0</v>
      </c>
      <c r="DM47" s="6">
        <f>SUM(CZ47:DB47,DD47,DF47)</f>
        <v>744</v>
      </c>
      <c r="DN47" s="8">
        <v>0</v>
      </c>
      <c r="DO47" s="8">
        <v>21</v>
      </c>
      <c r="DQ47" s="74" t="s">
        <v>57</v>
      </c>
      <c r="DR47" s="37" t="s">
        <v>47</v>
      </c>
      <c r="DS47" s="8">
        <v>0</v>
      </c>
      <c r="DT47" s="8">
        <v>0</v>
      </c>
      <c r="DU47" s="8">
        <v>0</v>
      </c>
      <c r="DV47" s="8">
        <v>744</v>
      </c>
      <c r="DW47" s="6">
        <f t="shared" si="420"/>
        <v>100</v>
      </c>
      <c r="DX47" s="8">
        <v>0</v>
      </c>
      <c r="DY47" s="6">
        <f t="shared" si="421"/>
        <v>0</v>
      </c>
      <c r="DZ47" s="6">
        <v>0</v>
      </c>
      <c r="EA47" s="6">
        <f>(DZ47/$DR$4)*100</f>
        <v>0</v>
      </c>
      <c r="EB47" s="8">
        <v>0</v>
      </c>
      <c r="EC47" s="6">
        <f>(DS47/$V$4)*100</f>
        <v>0</v>
      </c>
      <c r="ED47" s="6">
        <f t="shared" si="467"/>
        <v>0</v>
      </c>
      <c r="EE47" s="18">
        <f t="shared" si="468"/>
        <v>100</v>
      </c>
      <c r="EF47" s="6">
        <f>(EH47/($DR$4*EI47))*100</f>
        <v>0</v>
      </c>
      <c r="EG47" s="6">
        <f>SUM(DT47:DV47,DX47,DZ47)</f>
        <v>744</v>
      </c>
      <c r="EH47" s="8">
        <v>0</v>
      </c>
      <c r="EI47" s="8">
        <v>21</v>
      </c>
      <c r="EK47" s="74" t="s">
        <v>57</v>
      </c>
      <c r="EL47" s="37" t="s">
        <v>47</v>
      </c>
      <c r="EM47" s="8">
        <v>0</v>
      </c>
      <c r="EN47" s="8">
        <v>0</v>
      </c>
      <c r="EO47" s="8">
        <v>0</v>
      </c>
      <c r="EP47" s="8">
        <v>672</v>
      </c>
      <c r="EQ47" s="6">
        <f t="shared" si="424"/>
        <v>100</v>
      </c>
      <c r="ER47" s="8">
        <v>0</v>
      </c>
      <c r="ES47" s="6">
        <f t="shared" si="425"/>
        <v>0</v>
      </c>
      <c r="ET47" s="6">
        <v>0</v>
      </c>
      <c r="EU47" s="6">
        <f>(ET47/$EL$4)*100</f>
        <v>0</v>
      </c>
      <c r="EV47" s="8">
        <v>0</v>
      </c>
      <c r="EW47" s="6">
        <f>(EM47/$V$4)*100</f>
        <v>0</v>
      </c>
      <c r="EX47" s="6">
        <f t="shared" si="469"/>
        <v>0</v>
      </c>
      <c r="EY47" s="18">
        <f t="shared" si="470"/>
        <v>100</v>
      </c>
      <c r="EZ47" s="6">
        <f t="shared" ref="EZ47:EZ48" si="719">(FB47/($EL$4*FC47))*100</f>
        <v>0</v>
      </c>
      <c r="FA47" s="6">
        <f>SUM(EN47:EP47,ER47,ET47)</f>
        <v>672</v>
      </c>
      <c r="FB47" s="8">
        <v>0</v>
      </c>
      <c r="FC47" s="8">
        <v>21</v>
      </c>
      <c r="FE47" s="74" t="s">
        <v>57</v>
      </c>
      <c r="FF47" s="37" t="s">
        <v>47</v>
      </c>
      <c r="FG47" s="8">
        <v>0</v>
      </c>
      <c r="FH47" s="8">
        <v>0</v>
      </c>
      <c r="FI47" s="8">
        <v>0</v>
      </c>
      <c r="FJ47" s="8">
        <v>744</v>
      </c>
      <c r="FK47" s="6">
        <f t="shared" si="439"/>
        <v>100</v>
      </c>
      <c r="FL47" s="8">
        <v>0</v>
      </c>
      <c r="FM47" s="6">
        <f t="shared" si="440"/>
        <v>0</v>
      </c>
      <c r="FN47" s="6">
        <v>0</v>
      </c>
      <c r="FO47" s="6">
        <f t="shared" ref="FO47:FO48" si="720">(FN47/$FF$4)*100</f>
        <v>0</v>
      </c>
      <c r="FP47" s="8">
        <v>0</v>
      </c>
      <c r="FQ47" s="6">
        <f>(FG47/$V$4)*100</f>
        <v>0</v>
      </c>
      <c r="FR47" s="6">
        <f t="shared" si="473"/>
        <v>0</v>
      </c>
      <c r="FS47" s="18">
        <f t="shared" si="474"/>
        <v>100</v>
      </c>
      <c r="FT47" s="6">
        <f>(FV47/($FF$4*FW47))*100</f>
        <v>0</v>
      </c>
      <c r="FU47" s="6">
        <f>SUM(FH47:FJ47,FL47,FN47)</f>
        <v>744</v>
      </c>
      <c r="FV47" s="8">
        <v>0</v>
      </c>
      <c r="FW47" s="8">
        <v>21</v>
      </c>
      <c r="FY47" s="74" t="s">
        <v>57</v>
      </c>
      <c r="FZ47" s="37" t="s">
        <v>47</v>
      </c>
      <c r="GA47" s="8">
        <v>0</v>
      </c>
      <c r="GB47" s="8">
        <v>0</v>
      </c>
      <c r="GC47" s="8">
        <v>0</v>
      </c>
      <c r="GD47" s="8">
        <v>720</v>
      </c>
      <c r="GE47" s="8">
        <f>(GD47/$FZ$4)</f>
        <v>1</v>
      </c>
      <c r="GF47" s="8">
        <v>0</v>
      </c>
      <c r="GG47" s="8">
        <f t="shared" si="431"/>
        <v>0</v>
      </c>
      <c r="GH47" s="8">
        <v>0</v>
      </c>
      <c r="GI47" s="6">
        <f>(GH47/$FZ$4)*100</f>
        <v>0</v>
      </c>
      <c r="GJ47" s="8">
        <v>0</v>
      </c>
      <c r="GK47" s="6">
        <f>(GA47/$V$4)*100</f>
        <v>0</v>
      </c>
      <c r="GL47" s="8">
        <f t="shared" si="654"/>
        <v>0</v>
      </c>
      <c r="GM47" s="8">
        <f t="shared" si="655"/>
        <v>100</v>
      </c>
      <c r="GN47" s="6">
        <f>(GP47/($FZ$4*GQ47))*100</f>
        <v>0</v>
      </c>
      <c r="GO47" s="6">
        <f>SUM(GB47:GD47,GF47,GH47)</f>
        <v>720</v>
      </c>
      <c r="GP47" s="8">
        <v>0</v>
      </c>
      <c r="GQ47" s="8">
        <v>21</v>
      </c>
      <c r="GS47" s="74" t="s">
        <v>57</v>
      </c>
      <c r="GT47" s="37" t="s">
        <v>47</v>
      </c>
      <c r="GU47" s="8">
        <v>0</v>
      </c>
      <c r="GV47" s="8">
        <v>0</v>
      </c>
      <c r="GW47" s="8">
        <v>0</v>
      </c>
      <c r="GX47" s="8">
        <v>744</v>
      </c>
      <c r="GY47" s="8">
        <f t="shared" si="559"/>
        <v>100</v>
      </c>
      <c r="GZ47" s="8">
        <v>0</v>
      </c>
      <c r="HA47" s="8">
        <f t="shared" si="560"/>
        <v>0</v>
      </c>
      <c r="HB47" s="8">
        <v>0</v>
      </c>
      <c r="HC47" s="6">
        <f>(HB47/$GT$4)*100</f>
        <v>0</v>
      </c>
      <c r="HD47" s="8">
        <v>0</v>
      </c>
      <c r="HE47" s="6">
        <f>(GU47/$GT$4)*100</f>
        <v>0</v>
      </c>
      <c r="HF47" s="8">
        <f t="shared" si="396"/>
        <v>0</v>
      </c>
      <c r="HG47" s="8">
        <f t="shared" si="397"/>
        <v>100</v>
      </c>
      <c r="HH47" s="6">
        <f t="shared" ref="HH47:HH48" si="721">(HJ47/($GT$4*HK47))*100</f>
        <v>0</v>
      </c>
      <c r="HI47" s="6">
        <f>SUM(GV47:GX47,GZ47,HB47)</f>
        <v>744</v>
      </c>
      <c r="HJ47" s="8">
        <v>0</v>
      </c>
      <c r="HK47" s="8">
        <v>21</v>
      </c>
      <c r="HM47" s="74" t="s">
        <v>57</v>
      </c>
      <c r="HN47" s="37" t="s">
        <v>47</v>
      </c>
      <c r="HO47" s="8">
        <v>0</v>
      </c>
      <c r="HP47" s="8">
        <v>0</v>
      </c>
      <c r="HQ47" s="8">
        <v>0</v>
      </c>
      <c r="HR47" s="8">
        <v>720</v>
      </c>
      <c r="HS47" s="6">
        <f>(HR47/$HN$4)*100</f>
        <v>100</v>
      </c>
      <c r="HT47" s="8">
        <v>0</v>
      </c>
      <c r="HU47" s="6">
        <f>(HT47/$HN$4)*100</f>
        <v>0</v>
      </c>
      <c r="HV47" s="8">
        <v>0</v>
      </c>
      <c r="HW47" s="6">
        <f>(HV47/$HN$4)*100</f>
        <v>0</v>
      </c>
      <c r="HX47" s="8">
        <v>0</v>
      </c>
      <c r="HY47" s="6">
        <f>(HO47/$HN$4)*100</f>
        <v>0</v>
      </c>
      <c r="HZ47" s="21">
        <f>((HO47-HX47)/$HN$4)*100</f>
        <v>0</v>
      </c>
      <c r="IA47" s="21">
        <f t="shared" ref="IA47:IA48" si="722">IF((AND(HP47=0,HR47=0)),0,(HR47+HX47)/(HP47+HR47)*100)</f>
        <v>100</v>
      </c>
      <c r="IB47" s="6">
        <f>(ID47/($HN$4*IE47))*100</f>
        <v>0</v>
      </c>
      <c r="IC47" s="6">
        <f>SUM(HP47:HR47,HT47,HV47)</f>
        <v>720</v>
      </c>
      <c r="ID47" s="8">
        <v>0</v>
      </c>
      <c r="IE47" s="8">
        <v>21</v>
      </c>
      <c r="IF47" s="15">
        <v>0</v>
      </c>
    </row>
    <row r="48" spans="1:240" ht="14.25" x14ac:dyDescent="0.25">
      <c r="B48" s="37" t="s">
        <v>48</v>
      </c>
      <c r="C48" s="8">
        <v>744</v>
      </c>
      <c r="D48" s="8">
        <v>39.799999999999997</v>
      </c>
      <c r="E48" s="8">
        <v>704.2</v>
      </c>
      <c r="F48" s="8">
        <v>0</v>
      </c>
      <c r="G48" s="6">
        <f t="shared" si="339"/>
        <v>0</v>
      </c>
      <c r="H48" s="8">
        <v>0</v>
      </c>
      <c r="I48" s="6">
        <f t="shared" si="340"/>
        <v>0</v>
      </c>
      <c r="J48" s="6">
        <v>0</v>
      </c>
      <c r="K48" s="6">
        <f t="shared" si="524"/>
        <v>0</v>
      </c>
      <c r="L48" s="8">
        <v>0</v>
      </c>
      <c r="M48" s="8">
        <f t="shared" ref="M48" si="723">(C48/$B$4)*100</f>
        <v>100</v>
      </c>
      <c r="N48" s="8">
        <f t="shared" si="525"/>
        <v>100</v>
      </c>
      <c r="O48" s="8">
        <f t="shared" si="526"/>
        <v>0</v>
      </c>
      <c r="P48" s="6">
        <f t="shared" ref="P48" si="724">(R48/($B$4*S48))*100</f>
        <v>4.838709677419355</v>
      </c>
      <c r="Q48" s="6">
        <f t="shared" ref="Q48" si="725">SUM(D48:F48,H48,J48)</f>
        <v>744</v>
      </c>
      <c r="R48" s="8">
        <v>756</v>
      </c>
      <c r="S48" s="8">
        <v>21</v>
      </c>
      <c r="V48" s="37" t="s">
        <v>48</v>
      </c>
      <c r="W48" s="8">
        <v>744</v>
      </c>
      <c r="X48" s="8">
        <v>158.6</v>
      </c>
      <c r="Y48" s="8">
        <v>585.4</v>
      </c>
      <c r="Z48" s="8">
        <v>0</v>
      </c>
      <c r="AA48" s="8">
        <f t="shared" si="645"/>
        <v>0</v>
      </c>
      <c r="AB48" s="8">
        <v>0</v>
      </c>
      <c r="AC48" s="8">
        <f t="shared" si="646"/>
        <v>0</v>
      </c>
      <c r="AD48" s="8">
        <v>0</v>
      </c>
      <c r="AE48" s="6">
        <f t="shared" si="714"/>
        <v>0</v>
      </c>
      <c r="AF48" s="8">
        <v>0</v>
      </c>
      <c r="AG48" s="6">
        <f>(W48/$V$4)*100</f>
        <v>100</v>
      </c>
      <c r="AH48" s="8">
        <f t="shared" si="647"/>
        <v>100</v>
      </c>
      <c r="AI48" s="8">
        <f t="shared" si="648"/>
        <v>0</v>
      </c>
      <c r="AJ48" s="6">
        <f t="shared" ref="AJ48" si="726">(AL48/($V$4*AM48))*100</f>
        <v>19.700460829493089</v>
      </c>
      <c r="AK48" s="6">
        <f t="shared" ref="AK48" si="727">SUM(X48:Z48,AB48,AD48)</f>
        <v>744</v>
      </c>
      <c r="AL48" s="86">
        <v>3078</v>
      </c>
      <c r="AM48" s="8">
        <v>21</v>
      </c>
      <c r="AP48" s="37" t="s">
        <v>48</v>
      </c>
      <c r="AQ48" s="8">
        <v>720</v>
      </c>
      <c r="AR48" s="8">
        <v>162.30000000000001</v>
      </c>
      <c r="AS48" s="8">
        <v>557.70000000000005</v>
      </c>
      <c r="AT48" s="8">
        <v>0</v>
      </c>
      <c r="AU48" s="8">
        <f t="shared" si="121"/>
        <v>0</v>
      </c>
      <c r="AV48" s="8">
        <v>0</v>
      </c>
      <c r="AW48" s="8">
        <f t="shared" si="122"/>
        <v>0</v>
      </c>
      <c r="AX48" s="8">
        <v>0</v>
      </c>
      <c r="AY48" s="6">
        <f>(AX48/$AP$4)*100</f>
        <v>0</v>
      </c>
      <c r="AZ48" s="8">
        <v>0</v>
      </c>
      <c r="BA48" s="6">
        <f t="shared" ref="BA48" si="728">(AQ48/$AP$4)*100</f>
        <v>100</v>
      </c>
      <c r="BB48" s="6">
        <f t="shared" si="456"/>
        <v>100</v>
      </c>
      <c r="BC48" s="15">
        <f t="shared" si="457"/>
        <v>0</v>
      </c>
      <c r="BD48" s="6">
        <f t="shared" si="715"/>
        <v>20.68121693121693</v>
      </c>
      <c r="BE48" s="6">
        <f t="shared" ref="BE48" si="729">SUM(AR48:AT48,AV48,AX48)</f>
        <v>720</v>
      </c>
      <c r="BF48" s="8">
        <v>3127</v>
      </c>
      <c r="BG48" s="8">
        <v>21</v>
      </c>
      <c r="BJ48" s="37" t="s">
        <v>48</v>
      </c>
      <c r="BK48" s="8">
        <v>744</v>
      </c>
      <c r="BL48" s="8">
        <v>136.6</v>
      </c>
      <c r="BM48" s="8">
        <v>607.4</v>
      </c>
      <c r="BN48" s="8">
        <v>0</v>
      </c>
      <c r="BO48" s="6">
        <f t="shared" si="126"/>
        <v>0</v>
      </c>
      <c r="BP48" s="8">
        <v>0</v>
      </c>
      <c r="BQ48" s="8">
        <f t="shared" si="127"/>
        <v>0</v>
      </c>
      <c r="BR48" s="8">
        <v>0</v>
      </c>
      <c r="BS48" s="6">
        <f>(BR48/$BJ$4)*100</f>
        <v>0</v>
      </c>
      <c r="BT48" s="8">
        <v>0</v>
      </c>
      <c r="BU48" s="6">
        <f t="shared" si="716"/>
        <v>100</v>
      </c>
      <c r="BV48" s="6">
        <f t="shared" si="460"/>
        <v>100</v>
      </c>
      <c r="BW48" s="6">
        <f t="shared" si="461"/>
        <v>0</v>
      </c>
      <c r="BX48" s="6">
        <f t="shared" si="717"/>
        <v>16.839477726574501</v>
      </c>
      <c r="BY48" s="6">
        <f t="shared" ref="BY48" si="730">SUM(BL48:BN48,BP48,BR48)</f>
        <v>744</v>
      </c>
      <c r="BZ48" s="86">
        <v>2631</v>
      </c>
      <c r="CA48" s="8">
        <v>21</v>
      </c>
      <c r="CD48" s="37" t="s">
        <v>48</v>
      </c>
      <c r="CE48" s="8">
        <v>720</v>
      </c>
      <c r="CF48" s="8">
        <v>20.100000000000001</v>
      </c>
      <c r="CG48" s="8">
        <v>699.9</v>
      </c>
      <c r="CH48" s="8">
        <v>0</v>
      </c>
      <c r="CI48" s="8">
        <f t="shared" si="651"/>
        <v>0</v>
      </c>
      <c r="CJ48" s="8">
        <v>0</v>
      </c>
      <c r="CK48" s="8">
        <f t="shared" si="651"/>
        <v>0</v>
      </c>
      <c r="CL48" s="8">
        <v>0</v>
      </c>
      <c r="CM48" s="6">
        <f t="shared" ref="CM48" si="731">(CL48/$CD$4)*100</f>
        <v>0</v>
      </c>
      <c r="CN48" s="8">
        <v>0</v>
      </c>
      <c r="CO48" s="6">
        <f>(CE48/$CD$4)*100</f>
        <v>100</v>
      </c>
      <c r="CP48" s="6">
        <f t="shared" si="132"/>
        <v>100</v>
      </c>
      <c r="CQ48" s="18">
        <f t="shared" si="415"/>
        <v>0</v>
      </c>
      <c r="CR48" s="6">
        <f t="shared" si="718"/>
        <v>2.5595238095238093</v>
      </c>
      <c r="CS48" s="6">
        <f t="shared" ref="CS48" si="732">SUM(CF48:CH48,CJ48,CL48)</f>
        <v>720</v>
      </c>
      <c r="CT48" s="8">
        <v>387</v>
      </c>
      <c r="CU48" s="8">
        <v>21</v>
      </c>
      <c r="CX48" s="37" t="s">
        <v>48</v>
      </c>
      <c r="CY48" s="8">
        <v>744</v>
      </c>
      <c r="CZ48" s="8">
        <v>36.5</v>
      </c>
      <c r="DA48" s="8">
        <v>707.5</v>
      </c>
      <c r="DB48" s="8">
        <v>0</v>
      </c>
      <c r="DC48" s="6">
        <f t="shared" si="416"/>
        <v>0</v>
      </c>
      <c r="DD48" s="8">
        <v>0</v>
      </c>
      <c r="DE48" s="6">
        <f t="shared" si="417"/>
        <v>0</v>
      </c>
      <c r="DF48" s="6">
        <v>0</v>
      </c>
      <c r="DG48" s="6">
        <f t="shared" ref="DG48" si="733">(DF48/$CX$4)*100</f>
        <v>0</v>
      </c>
      <c r="DH48" s="8">
        <v>0</v>
      </c>
      <c r="DI48" s="6">
        <f>(CY48/$V$4)*100</f>
        <v>100</v>
      </c>
      <c r="DJ48" s="6">
        <f t="shared" si="464"/>
        <v>100</v>
      </c>
      <c r="DK48" s="18">
        <f t="shared" si="465"/>
        <v>0</v>
      </c>
      <c r="DL48" s="6">
        <f t="shared" ref="DL48" si="734">(DN48/($CX$4*DO48))*100</f>
        <v>5.2099334357398872</v>
      </c>
      <c r="DM48" s="6">
        <f t="shared" ref="DM48" si="735">SUM(CZ48:DB48,DD48,DF48)</f>
        <v>744</v>
      </c>
      <c r="DN48" s="8">
        <v>814</v>
      </c>
      <c r="DO48" s="8">
        <v>21</v>
      </c>
      <c r="DR48" s="37" t="s">
        <v>48</v>
      </c>
      <c r="DS48" s="8">
        <v>744</v>
      </c>
      <c r="DT48" s="8">
        <v>92</v>
      </c>
      <c r="DU48" s="8">
        <v>652</v>
      </c>
      <c r="DV48" s="8">
        <v>0</v>
      </c>
      <c r="DW48" s="6">
        <f t="shared" si="420"/>
        <v>0</v>
      </c>
      <c r="DX48" s="8">
        <v>0</v>
      </c>
      <c r="DY48" s="6">
        <f t="shared" si="421"/>
        <v>0</v>
      </c>
      <c r="DZ48" s="6">
        <v>0</v>
      </c>
      <c r="EA48" s="6">
        <f>(DZ48/$DR$4)*100</f>
        <v>0</v>
      </c>
      <c r="EB48" s="8">
        <v>0</v>
      </c>
      <c r="EC48" s="6">
        <f>(DS48/$V$4)*100</f>
        <v>100</v>
      </c>
      <c r="ED48" s="6">
        <f t="shared" si="467"/>
        <v>100</v>
      </c>
      <c r="EE48" s="18">
        <f t="shared" si="468"/>
        <v>0</v>
      </c>
      <c r="EF48" s="6">
        <f t="shared" ref="EF48" si="736">(EH48/($DR$4*EI48))*100</f>
        <v>11.603942652329749</v>
      </c>
      <c r="EG48" s="6">
        <f t="shared" ref="EG48" si="737">SUM(DT48:DV48,DX48,DZ48)</f>
        <v>744</v>
      </c>
      <c r="EH48" s="86">
        <v>1813</v>
      </c>
      <c r="EI48" s="8">
        <v>21</v>
      </c>
      <c r="EL48" s="37" t="s">
        <v>48</v>
      </c>
      <c r="EM48" s="8">
        <v>672</v>
      </c>
      <c r="EN48" s="8">
        <v>66.400000000000006</v>
      </c>
      <c r="EO48" s="8">
        <v>605.6</v>
      </c>
      <c r="EP48" s="8">
        <v>0</v>
      </c>
      <c r="EQ48" s="6">
        <f t="shared" si="424"/>
        <v>0</v>
      </c>
      <c r="ER48" s="8">
        <v>0</v>
      </c>
      <c r="ES48" s="6">
        <f t="shared" si="425"/>
        <v>0</v>
      </c>
      <c r="ET48" s="6">
        <v>0</v>
      </c>
      <c r="EU48" s="6">
        <f>(ET48/$EL$4)*100</f>
        <v>0</v>
      </c>
      <c r="EV48" s="8">
        <v>0</v>
      </c>
      <c r="EW48" s="6">
        <f>(EM48/$V$4)*100</f>
        <v>90.322580645161281</v>
      </c>
      <c r="EX48" s="6">
        <f t="shared" si="469"/>
        <v>100</v>
      </c>
      <c r="EY48" s="18">
        <f t="shared" si="470"/>
        <v>0</v>
      </c>
      <c r="EZ48" s="6">
        <f t="shared" si="719"/>
        <v>9.2616213151927429</v>
      </c>
      <c r="FA48" s="6">
        <f t="shared" ref="FA48" si="738">SUM(EN48:EP48,ER48,ET48)</f>
        <v>672</v>
      </c>
      <c r="FB48" s="86">
        <v>1307</v>
      </c>
      <c r="FC48" s="8">
        <v>21</v>
      </c>
      <c r="FF48" s="37" t="s">
        <v>48</v>
      </c>
      <c r="FG48" s="8">
        <v>744</v>
      </c>
      <c r="FH48" s="8">
        <v>184.8</v>
      </c>
      <c r="FI48" s="8">
        <v>559.20000000000005</v>
      </c>
      <c r="FJ48" s="8">
        <v>0</v>
      </c>
      <c r="FK48" s="6">
        <f t="shared" si="439"/>
        <v>0</v>
      </c>
      <c r="FL48" s="8">
        <v>0</v>
      </c>
      <c r="FM48" s="6">
        <f t="shared" si="440"/>
        <v>0</v>
      </c>
      <c r="FN48" s="6">
        <v>0</v>
      </c>
      <c r="FO48" s="6">
        <f t="shared" si="720"/>
        <v>0</v>
      </c>
      <c r="FP48" s="8">
        <v>0</v>
      </c>
      <c r="FQ48" s="6">
        <f>(FG48/$V$4)*100</f>
        <v>100</v>
      </c>
      <c r="FR48" s="6">
        <f t="shared" si="473"/>
        <v>100</v>
      </c>
      <c r="FS48" s="18">
        <f t="shared" si="474"/>
        <v>0</v>
      </c>
      <c r="FT48" s="6">
        <f t="shared" ref="FT48" si="739">(FV48/($FF$4*FW48))*100</f>
        <v>23.175883256528419</v>
      </c>
      <c r="FU48" s="6">
        <f t="shared" ref="FU48" si="740">SUM(FH48:FJ48,FL48,FN48)</f>
        <v>744</v>
      </c>
      <c r="FV48" s="86">
        <v>3621</v>
      </c>
      <c r="FW48" s="8">
        <v>21</v>
      </c>
      <c r="FZ48" s="37" t="s">
        <v>48</v>
      </c>
      <c r="GA48" s="8">
        <v>720</v>
      </c>
      <c r="GB48" s="8">
        <v>268.3</v>
      </c>
      <c r="GC48" s="8">
        <v>451.7</v>
      </c>
      <c r="GD48" s="8">
        <v>0</v>
      </c>
      <c r="GE48" s="8">
        <f>(GD48/$FZ$4)</f>
        <v>0</v>
      </c>
      <c r="GF48" s="8">
        <v>0</v>
      </c>
      <c r="GG48" s="8">
        <f t="shared" si="431"/>
        <v>0</v>
      </c>
      <c r="GH48" s="8">
        <v>0</v>
      </c>
      <c r="GI48" s="6">
        <f t="shared" ref="GI48" si="741">(GH48/$FZ$4)*100</f>
        <v>0</v>
      </c>
      <c r="GJ48" s="8">
        <v>0</v>
      </c>
      <c r="GK48" s="6">
        <f>(GA48/$V$4)*100</f>
        <v>96.774193548387103</v>
      </c>
      <c r="GL48" s="8">
        <f t="shared" si="654"/>
        <v>100</v>
      </c>
      <c r="GM48" s="8">
        <f t="shared" si="655"/>
        <v>0</v>
      </c>
      <c r="GN48" s="6">
        <f>(GP48/($FZ$4*GQ48))*100</f>
        <v>34.88095238095238</v>
      </c>
      <c r="GO48" s="6">
        <f t="shared" ref="GO48" si="742">SUM(GB48:GD48,GF48,GH48)</f>
        <v>720</v>
      </c>
      <c r="GP48" s="86">
        <v>5274</v>
      </c>
      <c r="GQ48" s="8">
        <v>21</v>
      </c>
      <c r="GT48" s="37" t="s">
        <v>48</v>
      </c>
      <c r="GU48" s="8">
        <v>744</v>
      </c>
      <c r="GV48" s="8">
        <v>104.8</v>
      </c>
      <c r="GW48" s="8">
        <v>639.20000000000005</v>
      </c>
      <c r="GX48" s="8">
        <v>0</v>
      </c>
      <c r="GY48" s="8">
        <f t="shared" si="559"/>
        <v>0</v>
      </c>
      <c r="GZ48" s="8">
        <v>0</v>
      </c>
      <c r="HA48" s="8">
        <f t="shared" si="560"/>
        <v>0</v>
      </c>
      <c r="HB48" s="8">
        <v>0</v>
      </c>
      <c r="HC48" s="6">
        <f t="shared" ref="HC48" si="743">(HB48/$GT$4)*100</f>
        <v>0</v>
      </c>
      <c r="HD48" s="8">
        <v>0</v>
      </c>
      <c r="HE48" s="6">
        <f>(GU48/$GT$4)*100</f>
        <v>100</v>
      </c>
      <c r="HF48" s="8">
        <f t="shared" si="396"/>
        <v>100</v>
      </c>
      <c r="HG48" s="8">
        <f t="shared" si="397"/>
        <v>0</v>
      </c>
      <c r="HH48" s="6">
        <f t="shared" si="721"/>
        <v>12.890424987199181</v>
      </c>
      <c r="HI48" s="6">
        <f t="shared" ref="HI48" si="744">SUM(GV48:GX48,GZ48,HB48)</f>
        <v>744</v>
      </c>
      <c r="HJ48" s="86">
        <v>2014</v>
      </c>
      <c r="HK48" s="8">
        <v>21</v>
      </c>
      <c r="HN48" s="37" t="s">
        <v>48</v>
      </c>
      <c r="HO48" s="8">
        <v>720</v>
      </c>
      <c r="HP48" s="8">
        <v>161.9</v>
      </c>
      <c r="HQ48" s="8">
        <v>558.1</v>
      </c>
      <c r="HR48" s="8">
        <v>0</v>
      </c>
      <c r="HS48" s="6">
        <f t="shared" ref="HS48" si="745">(HR48/$HN$4)*100</f>
        <v>0</v>
      </c>
      <c r="HT48" s="8">
        <v>0</v>
      </c>
      <c r="HU48" s="6">
        <f t="shared" ref="HU48" si="746">(HT48/$HN$4)*100</f>
        <v>0</v>
      </c>
      <c r="HV48" s="8">
        <v>0</v>
      </c>
      <c r="HW48" s="6">
        <f t="shared" ref="HW48" si="747">(HV48/$HN$4)*100</f>
        <v>0</v>
      </c>
      <c r="HX48" s="8">
        <v>0</v>
      </c>
      <c r="HY48" s="6">
        <f>(HO48/$HN$4)*100</f>
        <v>100</v>
      </c>
      <c r="HZ48" s="21">
        <f>((HO48-HX48)/$HN$4)*100</f>
        <v>100</v>
      </c>
      <c r="IA48" s="6">
        <f t="shared" si="722"/>
        <v>0</v>
      </c>
      <c r="IB48" s="6">
        <f>(ID48/($HN$4*IE48))*100</f>
        <v>20.542328042328041</v>
      </c>
      <c r="IC48" s="6">
        <f t="shared" ref="IC48" si="748">SUM(HP48:HR48,HT48,HV48)</f>
        <v>720</v>
      </c>
      <c r="ID48" s="46">
        <v>3106</v>
      </c>
      <c r="IE48" s="8">
        <v>21</v>
      </c>
      <c r="IF48" s="15">
        <v>20</v>
      </c>
    </row>
    <row r="49" spans="1:240" ht="15" x14ac:dyDescent="0.25">
      <c r="B49" s="24" t="s">
        <v>39</v>
      </c>
      <c r="C49" s="25">
        <f>SUM(C47:C48)</f>
        <v>744</v>
      </c>
      <c r="D49" s="25">
        <f t="shared" ref="D49:L49" si="749">SUM(D47:D48)</f>
        <v>39.799999999999997</v>
      </c>
      <c r="E49" s="25">
        <f t="shared" si="749"/>
        <v>704.2</v>
      </c>
      <c r="F49" s="25">
        <f t="shared" si="749"/>
        <v>744</v>
      </c>
      <c r="G49" s="26">
        <f>(G47*S47+G48*S48)/S49</f>
        <v>50</v>
      </c>
      <c r="H49" s="25">
        <f t="shared" si="749"/>
        <v>0</v>
      </c>
      <c r="I49" s="26">
        <f>(I47*S47+I48*S48)/S49</f>
        <v>0</v>
      </c>
      <c r="J49" s="26">
        <f>SUM(J47:J48)</f>
        <v>0</v>
      </c>
      <c r="K49" s="30">
        <f>(K47*S47+K48*S48)/S49</f>
        <v>0</v>
      </c>
      <c r="L49" s="25">
        <f t="shared" si="749"/>
        <v>0</v>
      </c>
      <c r="M49" s="26">
        <f>(M47*S47+M48*S48)/S49</f>
        <v>50</v>
      </c>
      <c r="N49" s="7">
        <f>(N47*S47+N48*S48)/S49</f>
        <v>50</v>
      </c>
      <c r="O49" s="7">
        <f>(O47*S47+O48*S48)/S49</f>
        <v>50</v>
      </c>
      <c r="P49" s="7">
        <f>(P47*S47+P48*S48)/S49</f>
        <v>2.4193548387096775</v>
      </c>
      <c r="Q49" s="30">
        <f>SUM(Q47:Q48)</f>
        <v>1488</v>
      </c>
      <c r="R49" s="25">
        <f>SUM(R47:R48)</f>
        <v>756</v>
      </c>
      <c r="S49" s="25">
        <f>SUM(S47:S48)</f>
        <v>42</v>
      </c>
      <c r="V49" s="32" t="s">
        <v>39</v>
      </c>
      <c r="W49" s="29">
        <f>SUM(W47:W48)</f>
        <v>744</v>
      </c>
      <c r="X49" s="29">
        <f t="shared" ref="X49" si="750">SUM(X47:X48)</f>
        <v>158.6</v>
      </c>
      <c r="Y49" s="29">
        <f>SUM(Y47:Y48)</f>
        <v>585.4</v>
      </c>
      <c r="Z49" s="29">
        <f t="shared" ref="Z49:AF49" si="751">SUM(Z47:Z48)</f>
        <v>744</v>
      </c>
      <c r="AA49" s="30">
        <f>(AA47*AM47+AA48*AM48)/AM49</f>
        <v>50</v>
      </c>
      <c r="AB49" s="29">
        <f t="shared" si="751"/>
        <v>0</v>
      </c>
      <c r="AC49" s="30">
        <f>(AC47*AM47+AC48*AM48)/AM49</f>
        <v>0</v>
      </c>
      <c r="AD49" s="30">
        <f>SUM(AD47:AD48)</f>
        <v>0</v>
      </c>
      <c r="AE49" s="30">
        <f>(AE47*AM47+AE48*AM48)/AM49</f>
        <v>0</v>
      </c>
      <c r="AF49" s="29">
        <f t="shared" si="751"/>
        <v>0</v>
      </c>
      <c r="AG49" s="26">
        <f>(AG47*AM47+AG48*AM48)/AM49</f>
        <v>50</v>
      </c>
      <c r="AH49" s="30">
        <f>(AH47*AM47+AH48*AM48)/AM49</f>
        <v>50</v>
      </c>
      <c r="AI49" s="30">
        <f>(AI47*AM47+AI48*AM48)/AM49</f>
        <v>50</v>
      </c>
      <c r="AJ49" s="7">
        <f>(AJ47*AM47+AJ48*AM48)/AM49</f>
        <v>9.8502304147465445</v>
      </c>
      <c r="AK49" s="30">
        <f>SUM(AK47:AK48)</f>
        <v>1488</v>
      </c>
      <c r="AL49" s="33">
        <f>SUM(AL47:AL48)</f>
        <v>3078</v>
      </c>
      <c r="AM49" s="29">
        <f>SUM(AM47:AM48)</f>
        <v>42</v>
      </c>
      <c r="AP49" s="32" t="s">
        <v>39</v>
      </c>
      <c r="AQ49" s="29">
        <f>SUM(AQ47:AQ48)</f>
        <v>720</v>
      </c>
      <c r="AR49" s="29">
        <f t="shared" ref="AR49:AZ49" si="752">SUM(AR47:AR48)</f>
        <v>162.30000000000001</v>
      </c>
      <c r="AS49" s="29">
        <f>SUM(AS47:AS48)</f>
        <v>557.70000000000005</v>
      </c>
      <c r="AT49" s="29">
        <f t="shared" si="752"/>
        <v>720</v>
      </c>
      <c r="AU49" s="30">
        <f>(AU47*BG47+AU48*BG48)/BG49</f>
        <v>50</v>
      </c>
      <c r="AV49" s="29">
        <f t="shared" si="752"/>
        <v>0</v>
      </c>
      <c r="AW49" s="30">
        <f>(AW47*BG47+AW48*BG48)/BG49</f>
        <v>0</v>
      </c>
      <c r="AX49" s="30">
        <f>SUM(AX47:AX48)</f>
        <v>0</v>
      </c>
      <c r="AY49" s="30">
        <f>(AY47*BG47+AY48*BG48)/BG49</f>
        <v>0</v>
      </c>
      <c r="AZ49" s="29">
        <f t="shared" si="752"/>
        <v>0</v>
      </c>
      <c r="BA49" s="26">
        <f>(BA47*BG47+BA48*BG48)/BG49</f>
        <v>50</v>
      </c>
      <c r="BB49" s="30">
        <f>(BB47*BG47+BB48*BG48)/BG49</f>
        <v>50</v>
      </c>
      <c r="BC49" s="30">
        <f>(BC47*BG47+BC48*BG48)/BG49</f>
        <v>50</v>
      </c>
      <c r="BD49" s="7">
        <f>(BD47*BG47+BD48*BG48)/BG49</f>
        <v>10.340608465608465</v>
      </c>
      <c r="BE49" s="30">
        <f>SUM(BE47:BE48)</f>
        <v>1440</v>
      </c>
      <c r="BF49" s="29">
        <f>SUM(BF47:BF48)</f>
        <v>3127</v>
      </c>
      <c r="BG49" s="29">
        <f>SUM(BG47:BG48)</f>
        <v>42</v>
      </c>
      <c r="BJ49" s="32" t="s">
        <v>39</v>
      </c>
      <c r="BK49" s="29">
        <f>SUM(BK47:BK48)</f>
        <v>744</v>
      </c>
      <c r="BL49" s="29">
        <f t="shared" ref="BL49:BT49" si="753">SUM(BL47:BL48)</f>
        <v>136.6</v>
      </c>
      <c r="BM49" s="29">
        <f>SUM(BM47:BM48)</f>
        <v>607.4</v>
      </c>
      <c r="BN49" s="29">
        <f t="shared" si="753"/>
        <v>744</v>
      </c>
      <c r="BO49" s="30">
        <f>(BO47*CA47+BO48*CA48)/CA49</f>
        <v>50</v>
      </c>
      <c r="BP49" s="29">
        <f t="shared" si="753"/>
        <v>0</v>
      </c>
      <c r="BQ49" s="30">
        <f>(BQ47*CA47+BQ48*CA48)/CA49</f>
        <v>0</v>
      </c>
      <c r="BR49" s="30">
        <f>SUM(BR47:BR48)</f>
        <v>0</v>
      </c>
      <c r="BS49" s="30">
        <f>(BS47*CA47+BS48*CA48)/CA49</f>
        <v>0</v>
      </c>
      <c r="BT49" s="29">
        <f t="shared" si="753"/>
        <v>0</v>
      </c>
      <c r="BU49" s="26">
        <f>(BU47*CA47+BU48*CA48)/CA49</f>
        <v>50</v>
      </c>
      <c r="BV49" s="30">
        <f>(BV47*CA47+BV48*CA48)/CA49</f>
        <v>50</v>
      </c>
      <c r="BW49" s="30">
        <f>(BW47*CA47+BW48*CA48)/CA49</f>
        <v>50</v>
      </c>
      <c r="BX49" s="7">
        <f>(BX47*CA47+BX48*CA48)/CA49</f>
        <v>8.4197388632872503</v>
      </c>
      <c r="BY49" s="30">
        <f>SUM(BY47:BY48)</f>
        <v>1488</v>
      </c>
      <c r="BZ49" s="89">
        <f>SUM(BZ47:BZ48)</f>
        <v>2631</v>
      </c>
      <c r="CA49" s="29">
        <f>SUM(CA47:CA48)</f>
        <v>42</v>
      </c>
      <c r="CD49" s="32" t="s">
        <v>39</v>
      </c>
      <c r="CE49" s="29">
        <f>SUM(CE47:CE48)</f>
        <v>720</v>
      </c>
      <c r="CF49" s="29">
        <f t="shared" ref="CF49:CN49" si="754">SUM(CF47:CF48)</f>
        <v>20.100000000000001</v>
      </c>
      <c r="CG49" s="29">
        <f>SUM(CG47:CG48)</f>
        <v>699.9</v>
      </c>
      <c r="CH49" s="29">
        <f t="shared" si="754"/>
        <v>720</v>
      </c>
      <c r="CI49" s="30">
        <f>(CI47*CU47+CI48*CU48)/CU49</f>
        <v>50</v>
      </c>
      <c r="CJ49" s="29">
        <f t="shared" si="754"/>
        <v>0</v>
      </c>
      <c r="CK49" s="30">
        <f>(CK47*CU47+CK48*CU48)/CU49</f>
        <v>0</v>
      </c>
      <c r="CL49" s="30">
        <f>SUM(CL47:CL48)</f>
        <v>0</v>
      </c>
      <c r="CM49" s="26">
        <f>(CM47*CU47+CM48*CU48)/CU49</f>
        <v>0</v>
      </c>
      <c r="CN49" s="29">
        <f t="shared" si="754"/>
        <v>0</v>
      </c>
      <c r="CO49" s="26">
        <f>(CO47*CU47+CO48*CU48)/CU49</f>
        <v>50</v>
      </c>
      <c r="CP49" s="30">
        <f>(CP47*CU47+CP48*CU48)/CU49</f>
        <v>50</v>
      </c>
      <c r="CQ49" s="30">
        <f>(CQ47*CU47+CQ48*CU48)/CU49</f>
        <v>50</v>
      </c>
      <c r="CR49" s="7">
        <f>(CR47*CU47+CR48*CU48)/CU49</f>
        <v>1.2797619047619047</v>
      </c>
      <c r="CS49" s="30">
        <f>SUM(CS47:CS48)</f>
        <v>1440</v>
      </c>
      <c r="CT49" s="29">
        <f>SUM(CT47:CT48)</f>
        <v>387</v>
      </c>
      <c r="CU49" s="29">
        <f>SUM(CU47:CU48)</f>
        <v>42</v>
      </c>
      <c r="CX49" s="24" t="s">
        <v>39</v>
      </c>
      <c r="CY49" s="29">
        <f>SUM(CY47:CY48)</f>
        <v>744</v>
      </c>
      <c r="CZ49" s="29">
        <f t="shared" ref="CZ49:DH49" si="755">SUM(CZ47:CZ48)</f>
        <v>36.5</v>
      </c>
      <c r="DA49" s="29">
        <f>SUM(DA47:DA48)</f>
        <v>707.5</v>
      </c>
      <c r="DB49" s="29">
        <f t="shared" si="755"/>
        <v>744</v>
      </c>
      <c r="DC49" s="30">
        <f>(DC47*DO47+DC48*DO48)/DO49</f>
        <v>50</v>
      </c>
      <c r="DD49" s="29">
        <f t="shared" si="755"/>
        <v>0</v>
      </c>
      <c r="DE49" s="30">
        <f>(DE47*DO47+DE48*DO48)/DO49</f>
        <v>0</v>
      </c>
      <c r="DF49" s="30">
        <f>SUM(DF47:DF48)</f>
        <v>0</v>
      </c>
      <c r="DG49" s="30">
        <f>(DG47*DO47+DG48*DO48)/DO49</f>
        <v>0</v>
      </c>
      <c r="DH49" s="29">
        <f t="shared" si="755"/>
        <v>0</v>
      </c>
      <c r="DI49" s="26">
        <f>(DI47*DO47+DI48*DO48)/DO49</f>
        <v>50</v>
      </c>
      <c r="DJ49" s="30">
        <f>(DJ47*DO47+DJ48*DO48)/DO49</f>
        <v>50</v>
      </c>
      <c r="DK49" s="30">
        <f>(DK47*DO47+DK48*DO48)/DO49</f>
        <v>50</v>
      </c>
      <c r="DL49" s="7">
        <f>(DL47*DO47+DL48*DO48)/DO49</f>
        <v>2.6049667178699436</v>
      </c>
      <c r="DM49" s="30">
        <f>SUM(DM47:DM48)</f>
        <v>1488</v>
      </c>
      <c r="DN49" s="29">
        <f>SUM(DN47:DN48)</f>
        <v>814</v>
      </c>
      <c r="DO49" s="29">
        <f>SUM(DO47:DO48)</f>
        <v>42</v>
      </c>
      <c r="DR49" s="32" t="s">
        <v>39</v>
      </c>
      <c r="DS49" s="29">
        <f>SUM(DS47:DS48)</f>
        <v>744</v>
      </c>
      <c r="DT49" s="29">
        <f t="shared" ref="DT49:EB49" si="756">SUM(DT47:DT48)</f>
        <v>92</v>
      </c>
      <c r="DU49" s="29">
        <f>SUM(DU47:DU48)</f>
        <v>652</v>
      </c>
      <c r="DV49" s="29">
        <f t="shared" si="756"/>
        <v>744</v>
      </c>
      <c r="DW49" s="30">
        <f>(DW47*EI47+DW48*EI48)/EI49</f>
        <v>50</v>
      </c>
      <c r="DX49" s="29">
        <f t="shared" si="756"/>
        <v>0</v>
      </c>
      <c r="DY49" s="30">
        <f>(DY47*EI47+DY48*EI48)/EI49</f>
        <v>0</v>
      </c>
      <c r="DZ49" s="30">
        <f>SUM(DZ47:DZ48)</f>
        <v>0</v>
      </c>
      <c r="EA49" s="30">
        <f>(EA47*EI47+EA48*EI48)/EI49</f>
        <v>0</v>
      </c>
      <c r="EB49" s="29">
        <f t="shared" si="756"/>
        <v>0</v>
      </c>
      <c r="EC49" s="26">
        <f>(EC47*EI47+EC48*EI48)/EI49</f>
        <v>50</v>
      </c>
      <c r="ED49" s="30">
        <f>(ED47*EI47+ED48*EI48)/EI49</f>
        <v>50</v>
      </c>
      <c r="EE49" s="30">
        <f>(EE47*EI47+EE48*EI48)/EI49</f>
        <v>50</v>
      </c>
      <c r="EF49" s="7">
        <f>(EF47*EI47+EF48*EI48)/EI49</f>
        <v>5.8019713261648747</v>
      </c>
      <c r="EG49" s="30">
        <f>SUM(EG47:EG48)</f>
        <v>1488</v>
      </c>
      <c r="EH49" s="89">
        <f>SUM(EH47:EH48)</f>
        <v>1813</v>
      </c>
      <c r="EI49" s="29">
        <f>SUM(EI47:EI48)</f>
        <v>42</v>
      </c>
      <c r="EL49" s="24" t="s">
        <v>39</v>
      </c>
      <c r="EM49" s="29">
        <f>SUM(EM47:EM48)</f>
        <v>672</v>
      </c>
      <c r="EN49" s="29">
        <f t="shared" ref="EN49:EV49" si="757">SUM(EN47:EN48)</f>
        <v>66.400000000000006</v>
      </c>
      <c r="EO49" s="29">
        <f>SUM(EO47:EO48)</f>
        <v>605.6</v>
      </c>
      <c r="EP49" s="29">
        <f t="shared" si="757"/>
        <v>672</v>
      </c>
      <c r="EQ49" s="30">
        <f>(EQ47*FC47+EQ48*FC48)/FC49</f>
        <v>50</v>
      </c>
      <c r="ER49" s="29">
        <f t="shared" si="757"/>
        <v>0</v>
      </c>
      <c r="ES49" s="30">
        <f>(ES47*FC47+ES48*FC48)/FC49</f>
        <v>0</v>
      </c>
      <c r="ET49" s="30">
        <f>SUM(ET47:ET48)</f>
        <v>0</v>
      </c>
      <c r="EU49" s="30">
        <f>(EU47*FC47+EU48*FC48)/FC49</f>
        <v>0</v>
      </c>
      <c r="EV49" s="29">
        <f t="shared" si="757"/>
        <v>0</v>
      </c>
      <c r="EW49" s="26">
        <f>(EW47*FC47+EW48*FC48)/FC49</f>
        <v>45.161290322580641</v>
      </c>
      <c r="EX49" s="30">
        <f>(EX47*FC47+EX48*FC48)/FC49</f>
        <v>50</v>
      </c>
      <c r="EY49" s="30">
        <f>(EY47*FC47+EY48*FC48)/FC49</f>
        <v>50</v>
      </c>
      <c r="EZ49" s="7">
        <f>(EZ47*FC47+EZ48*FC48)/FC49</f>
        <v>4.6308106575963714</v>
      </c>
      <c r="FA49" s="30">
        <f>SUM(FA47:FA48)</f>
        <v>1344</v>
      </c>
      <c r="FB49" s="33">
        <f>SUM(FB47:FB48)</f>
        <v>1307</v>
      </c>
      <c r="FC49" s="29">
        <f>SUM(FC47:FC48)</f>
        <v>42</v>
      </c>
      <c r="FF49" s="24" t="s">
        <v>39</v>
      </c>
      <c r="FG49" s="29">
        <f>SUM(FG47:FG48)</f>
        <v>744</v>
      </c>
      <c r="FH49" s="29">
        <f t="shared" ref="FH49:FP49" si="758">SUM(FH47:FH48)</f>
        <v>184.8</v>
      </c>
      <c r="FI49" s="29">
        <f>SUM(FI47:FI48)</f>
        <v>559.20000000000005</v>
      </c>
      <c r="FJ49" s="29">
        <f t="shared" si="758"/>
        <v>744</v>
      </c>
      <c r="FK49" s="30">
        <f>(FK47*FW47+FK48*FW48)/FW49</f>
        <v>50</v>
      </c>
      <c r="FL49" s="29">
        <f t="shared" si="758"/>
        <v>0</v>
      </c>
      <c r="FM49" s="30">
        <f>(FM47*FW47+FM48*FW48)/FW49</f>
        <v>0</v>
      </c>
      <c r="FN49" s="30">
        <f>SUM(FN47:FN48)</f>
        <v>0</v>
      </c>
      <c r="FO49" s="30">
        <f>(FO47*FW47+FO48*FW48)/FW49</f>
        <v>0</v>
      </c>
      <c r="FP49" s="29">
        <f t="shared" si="758"/>
        <v>0</v>
      </c>
      <c r="FQ49" s="26">
        <f>(FQ47*FW47+FQ48*FW48)/FW49</f>
        <v>50</v>
      </c>
      <c r="FR49" s="30">
        <f>(FR47*FW47+FR48*FW48)/FW49</f>
        <v>50</v>
      </c>
      <c r="FS49" s="30">
        <f>(FS47*FW47+FS48*FW48)/FW49</f>
        <v>50</v>
      </c>
      <c r="FT49" s="7">
        <f>(FT47*FW47+FT48*FW48)/FW49</f>
        <v>11.587941628264209</v>
      </c>
      <c r="FU49" s="30">
        <f>SUM(FU47:FU48)</f>
        <v>1488</v>
      </c>
      <c r="FV49" s="89">
        <f>SUM(FV47:FV48)</f>
        <v>3621</v>
      </c>
      <c r="FW49" s="29">
        <f>SUM(FW47:FW48)</f>
        <v>42</v>
      </c>
      <c r="FZ49" s="24" t="s">
        <v>39</v>
      </c>
      <c r="GA49" s="29">
        <f>SUM(GA47:GA48)</f>
        <v>720</v>
      </c>
      <c r="GB49" s="29">
        <f t="shared" ref="GB49:GJ49" si="759">SUM(GB47:GB48)</f>
        <v>268.3</v>
      </c>
      <c r="GC49" s="29">
        <f>SUM(GC47:GC48)</f>
        <v>451.7</v>
      </c>
      <c r="GD49" s="29">
        <f t="shared" si="759"/>
        <v>720</v>
      </c>
      <c r="GE49" s="79">
        <f>(GE47*GQ47+GE48*GQ48)/GQ49</f>
        <v>0.5</v>
      </c>
      <c r="GF49" s="29">
        <f t="shared" si="759"/>
        <v>0</v>
      </c>
      <c r="GG49" s="30">
        <f>(GG47*GQ47+GG48*GQ48)/GQ49</f>
        <v>0</v>
      </c>
      <c r="GH49" s="30">
        <f>SUM(GH47:GH48)</f>
        <v>0</v>
      </c>
      <c r="GI49" s="26">
        <f>(GI47*GQ47+GI48*GQ48)/GQ49</f>
        <v>0</v>
      </c>
      <c r="GJ49" s="29">
        <f t="shared" si="759"/>
        <v>0</v>
      </c>
      <c r="GK49" s="26">
        <f>(GK47*GQ47+GK48*GQ48)/GQ49</f>
        <v>48.387096774193552</v>
      </c>
      <c r="GL49" s="30">
        <f>(GL47*GQ47+GL48*GQ48)/GQ49</f>
        <v>50</v>
      </c>
      <c r="GM49" s="30">
        <f>(GM47*GQ47+GM48*GQ48)/GQ49</f>
        <v>50</v>
      </c>
      <c r="GN49" s="7">
        <f>(GN47*GQ47+GN48*GQ48)/GQ49</f>
        <v>17.44047619047619</v>
      </c>
      <c r="GO49" s="30">
        <f>SUM(GO47:GO48)</f>
        <v>1440</v>
      </c>
      <c r="GP49" s="89">
        <f>SUM(GP47:GP48)</f>
        <v>5274</v>
      </c>
      <c r="GQ49" s="29">
        <f>SUM(GQ47:GQ48)</f>
        <v>42</v>
      </c>
      <c r="GT49" s="32" t="s">
        <v>39</v>
      </c>
      <c r="GU49" s="29">
        <f>SUM(GU47:GU48)</f>
        <v>744</v>
      </c>
      <c r="GV49" s="29">
        <f t="shared" ref="GV49:HD49" si="760">SUM(GV47:GV48)</f>
        <v>104.8</v>
      </c>
      <c r="GW49" s="29">
        <f>SUM(GW47:GW48)</f>
        <v>639.20000000000005</v>
      </c>
      <c r="GX49" s="29">
        <f t="shared" si="760"/>
        <v>744</v>
      </c>
      <c r="GY49" s="30">
        <f>(GY47*HK47+GY48*HK48)/HK49</f>
        <v>50</v>
      </c>
      <c r="GZ49" s="29">
        <f t="shared" si="760"/>
        <v>0</v>
      </c>
      <c r="HA49" s="30">
        <f>(HA47*HK47+HA48*HK48)/HK49</f>
        <v>0</v>
      </c>
      <c r="HB49" s="30">
        <f>SUM(HB47:HB48)</f>
        <v>0</v>
      </c>
      <c r="HC49" s="26">
        <f>(HC47*HK47+HC48*HK48)/HK49</f>
        <v>0</v>
      </c>
      <c r="HD49" s="29">
        <f t="shared" si="760"/>
        <v>0</v>
      </c>
      <c r="HE49" s="26">
        <f>(HE47*HK47+HE48*HK48)/HK49</f>
        <v>50</v>
      </c>
      <c r="HF49" s="30">
        <f>(HF47*HK47+HF48*HK48)/HK49</f>
        <v>50</v>
      </c>
      <c r="HG49" s="30">
        <f>(HG47*HK47+HG48*HK48)/HK49</f>
        <v>50</v>
      </c>
      <c r="HH49" s="7">
        <f>(HH47*HK47+HH48*HK48)/HK49</f>
        <v>6.4452124935995903</v>
      </c>
      <c r="HI49" s="30">
        <f>SUM(HI47:HI48)</f>
        <v>1488</v>
      </c>
      <c r="HJ49" s="89">
        <f>SUM(HJ47:HJ48)</f>
        <v>2014</v>
      </c>
      <c r="HK49" s="29">
        <f>SUM(HK47:HK48)</f>
        <v>42</v>
      </c>
      <c r="HN49" s="87" t="s">
        <v>39</v>
      </c>
      <c r="HO49" s="29">
        <f>SUM(HO47:HO48)</f>
        <v>720</v>
      </c>
      <c r="HP49" s="29">
        <f t="shared" ref="HP49" si="761">SUM(HP47:HP48)</f>
        <v>161.9</v>
      </c>
      <c r="HQ49" s="29">
        <f>SUM(HQ47:HQ48)</f>
        <v>558.1</v>
      </c>
      <c r="HR49" s="29">
        <f t="shared" ref="HR49" si="762">SUM(HR47:HR48)</f>
        <v>720</v>
      </c>
      <c r="HS49" s="26">
        <f>(HS47*IE47+HS48*IE48)/IE49</f>
        <v>50</v>
      </c>
      <c r="HT49" s="29">
        <f>SUM(HT47:HT48)</f>
        <v>0</v>
      </c>
      <c r="HU49" s="26">
        <f>(HU47*IE47+HU48*IE48)/IE49</f>
        <v>0</v>
      </c>
      <c r="HV49" s="29">
        <f>SUM(HV47:HV48)</f>
        <v>0</v>
      </c>
      <c r="HW49" s="26">
        <f>(HW47*IE47+HW48*IE48)/IE49</f>
        <v>0</v>
      </c>
      <c r="HX49" s="29">
        <f>SUM(HX47:HX48)</f>
        <v>0</v>
      </c>
      <c r="HY49" s="30">
        <f>(HY47*IE47+HY48*IE48)/IE49</f>
        <v>50</v>
      </c>
      <c r="HZ49" s="193">
        <f>(HZ47*IE47+HZ48*IE48)/IE49</f>
        <v>50</v>
      </c>
      <c r="IA49" s="193">
        <f>(IA47*IE47+IA48*IE48)/IE49</f>
        <v>50</v>
      </c>
      <c r="IB49" s="193">
        <f>(IB47*IE47+IB48*IE48)/IE49</f>
        <v>10.27116402116402</v>
      </c>
      <c r="IC49" s="30">
        <f>SUM(IC47:IC48)</f>
        <v>1440</v>
      </c>
      <c r="ID49" s="47">
        <f>SUM(ID47:ID48)</f>
        <v>3106</v>
      </c>
      <c r="IE49" s="29">
        <f>SUM(IE47:IE48)</f>
        <v>42</v>
      </c>
      <c r="IF49" s="15"/>
    </row>
    <row r="50" spans="1:240" ht="15" x14ac:dyDescent="0.25">
      <c r="A50" s="74" t="s">
        <v>58</v>
      </c>
      <c r="B50" s="37" t="s">
        <v>47</v>
      </c>
      <c r="C50" s="8">
        <v>744</v>
      </c>
      <c r="D50" s="8">
        <v>56</v>
      </c>
      <c r="E50" s="8">
        <v>688</v>
      </c>
      <c r="F50" s="8">
        <v>0</v>
      </c>
      <c r="G50" s="6">
        <f t="shared" si="339"/>
        <v>0</v>
      </c>
      <c r="H50" s="8">
        <v>0</v>
      </c>
      <c r="I50" s="6">
        <f t="shared" si="340"/>
        <v>0</v>
      </c>
      <c r="J50" s="6">
        <v>0</v>
      </c>
      <c r="K50" s="6">
        <f t="shared" si="524"/>
        <v>0</v>
      </c>
      <c r="L50" s="8">
        <v>0</v>
      </c>
      <c r="M50" s="6">
        <f>(C50/$B$4)*100</f>
        <v>100</v>
      </c>
      <c r="N50" s="8">
        <f t="shared" si="525"/>
        <v>100</v>
      </c>
      <c r="O50" s="8">
        <f t="shared" si="526"/>
        <v>0</v>
      </c>
      <c r="P50" s="6">
        <f>(R50/($B$4*S50))*100</f>
        <v>6.4900153609831035</v>
      </c>
      <c r="Q50" s="6">
        <f>SUM(D50:F50,H50,J50)</f>
        <v>744</v>
      </c>
      <c r="R50" s="86">
        <v>1014</v>
      </c>
      <c r="S50" s="8">
        <v>21</v>
      </c>
      <c r="U50" s="74" t="s">
        <v>58</v>
      </c>
      <c r="V50" s="37" t="s">
        <v>47</v>
      </c>
      <c r="W50" s="8">
        <v>744</v>
      </c>
      <c r="X50" s="8">
        <v>181.7</v>
      </c>
      <c r="Y50" s="8">
        <v>562.29999999999995</v>
      </c>
      <c r="Z50" s="8">
        <v>0</v>
      </c>
      <c r="AA50" s="8">
        <f t="shared" si="645"/>
        <v>0</v>
      </c>
      <c r="AB50" s="8">
        <v>0</v>
      </c>
      <c r="AC50" s="8">
        <f t="shared" si="646"/>
        <v>0</v>
      </c>
      <c r="AD50" s="8">
        <v>0</v>
      </c>
      <c r="AE50" s="6">
        <f t="shared" ref="AE50:AE51" si="763">(AD50/$V$4)*100</f>
        <v>0</v>
      </c>
      <c r="AF50" s="8">
        <v>0</v>
      </c>
      <c r="AG50" s="6">
        <f>(W50/$V$4)*100</f>
        <v>100</v>
      </c>
      <c r="AH50" s="8">
        <f t="shared" si="647"/>
        <v>100</v>
      </c>
      <c r="AI50" s="8">
        <f t="shared" si="648"/>
        <v>0</v>
      </c>
      <c r="AJ50" s="6">
        <f>(AL50/($V$4*AM50))*100</f>
        <v>21.908602150537636</v>
      </c>
      <c r="AK50" s="6">
        <f>SUM(X50:Z50,AB50,AD50)</f>
        <v>744</v>
      </c>
      <c r="AL50" s="86">
        <v>3423</v>
      </c>
      <c r="AM50" s="8">
        <v>21</v>
      </c>
      <c r="AO50" s="74" t="s">
        <v>58</v>
      </c>
      <c r="AP50" s="37" t="s">
        <v>47</v>
      </c>
      <c r="AQ50" s="8">
        <v>720</v>
      </c>
      <c r="AR50" s="8">
        <v>168</v>
      </c>
      <c r="AS50" s="8">
        <v>552</v>
      </c>
      <c r="AT50" s="8">
        <v>0</v>
      </c>
      <c r="AU50" s="8">
        <f t="shared" si="121"/>
        <v>0</v>
      </c>
      <c r="AV50" s="8">
        <v>0</v>
      </c>
      <c r="AW50" s="8">
        <f t="shared" si="122"/>
        <v>0</v>
      </c>
      <c r="AX50" s="8">
        <v>0</v>
      </c>
      <c r="AY50" s="6">
        <f>(AX50/$AP$4)*100</f>
        <v>0</v>
      </c>
      <c r="AZ50" s="8">
        <v>0</v>
      </c>
      <c r="BA50" s="6">
        <f>(AQ50/$AP$4)*100</f>
        <v>100</v>
      </c>
      <c r="BB50" s="6">
        <f t="shared" si="456"/>
        <v>100</v>
      </c>
      <c r="BC50" s="15">
        <f t="shared" si="457"/>
        <v>0</v>
      </c>
      <c r="BD50" s="6">
        <f t="shared" ref="BD50:BD51" si="764">(BF50/($AP$4*BG50))*100</f>
        <v>21.097883597883598</v>
      </c>
      <c r="BE50" s="6">
        <f>SUM(AR50:AT50,AV50,AX50)</f>
        <v>720</v>
      </c>
      <c r="BF50" s="8">
        <v>3190</v>
      </c>
      <c r="BG50" s="8">
        <v>21</v>
      </c>
      <c r="BI50" s="74" t="s">
        <v>58</v>
      </c>
      <c r="BJ50" s="37" t="s">
        <v>47</v>
      </c>
      <c r="BK50" s="8">
        <v>744</v>
      </c>
      <c r="BL50" s="8">
        <v>143.6</v>
      </c>
      <c r="BM50" s="8">
        <v>600.4</v>
      </c>
      <c r="BN50" s="8">
        <v>0</v>
      </c>
      <c r="BO50" s="6">
        <f t="shared" si="126"/>
        <v>0</v>
      </c>
      <c r="BP50" s="8">
        <v>0</v>
      </c>
      <c r="BQ50" s="8">
        <f t="shared" si="127"/>
        <v>0</v>
      </c>
      <c r="BR50" s="8">
        <v>0</v>
      </c>
      <c r="BS50" s="6">
        <f>(BR50/$BJ$4)*100</f>
        <v>0</v>
      </c>
      <c r="BT50" s="8">
        <v>0</v>
      </c>
      <c r="BU50" s="6">
        <f>(BK50/$BJ$4)*100</f>
        <v>100</v>
      </c>
      <c r="BV50" s="6">
        <f t="shared" si="460"/>
        <v>100</v>
      </c>
      <c r="BW50" s="6">
        <f t="shared" si="461"/>
        <v>0</v>
      </c>
      <c r="BX50" s="6">
        <f t="shared" ref="BX50:BX51" si="765">(BZ50/($BJ$4*CA50))*100</f>
        <v>17.562724014336915</v>
      </c>
      <c r="BY50" s="6">
        <f>SUM(BL50:BN50,BP50,BR50)</f>
        <v>744</v>
      </c>
      <c r="BZ50" s="86">
        <v>2744</v>
      </c>
      <c r="CA50" s="8">
        <v>21</v>
      </c>
      <c r="CC50" s="74" t="s">
        <v>58</v>
      </c>
      <c r="CD50" s="37" t="s">
        <v>47</v>
      </c>
      <c r="CE50" s="8">
        <v>720</v>
      </c>
      <c r="CF50" s="8">
        <v>35.299999999999997</v>
      </c>
      <c r="CG50" s="8">
        <v>684.7</v>
      </c>
      <c r="CH50" s="8">
        <v>0</v>
      </c>
      <c r="CI50" s="6">
        <f t="shared" ref="CI50:CI51" si="766">(CH50/$CD$4)*100</f>
        <v>0</v>
      </c>
      <c r="CJ50" s="8">
        <v>0</v>
      </c>
      <c r="CK50" s="6">
        <f t="shared" ref="CK50:CK51" si="767">(CJ50/$CD$4)*100</f>
        <v>0</v>
      </c>
      <c r="CL50" s="6">
        <v>0</v>
      </c>
      <c r="CM50" s="6">
        <f>(CL50/$CD$4)*100</f>
        <v>0</v>
      </c>
      <c r="CN50" s="8">
        <v>0</v>
      </c>
      <c r="CO50" s="6">
        <f>(CE50/$CD$4)*100</f>
        <v>100</v>
      </c>
      <c r="CP50" s="6">
        <f t="shared" ref="CP50:CP51" si="768">((CE50-CN50)/$CD$4)*100</f>
        <v>100</v>
      </c>
      <c r="CQ50" s="18">
        <f t="shared" ref="CQ50:CQ51" si="769">IF((AND(CF50=0,CH50=0)),0,(CH50+CN50)/(CF50+CH50)*100)</f>
        <v>0</v>
      </c>
      <c r="CR50" s="6">
        <f t="shared" ref="CR50:CR51" si="770">(CT50/($CD$4*CU50))*100</f>
        <v>4.4179894179894177</v>
      </c>
      <c r="CS50" s="6">
        <f>SUM(CF50:CH50,CJ50,CL50)</f>
        <v>720</v>
      </c>
      <c r="CT50" s="8">
        <v>668</v>
      </c>
      <c r="CU50" s="8">
        <v>21</v>
      </c>
      <c r="CW50" s="74" t="s">
        <v>58</v>
      </c>
      <c r="CX50" s="37" t="s">
        <v>47</v>
      </c>
      <c r="CY50" s="8">
        <v>744</v>
      </c>
      <c r="CZ50" s="8">
        <v>55.9</v>
      </c>
      <c r="DA50" s="8">
        <v>688.1</v>
      </c>
      <c r="DB50" s="8">
        <v>0</v>
      </c>
      <c r="DC50" s="6">
        <f t="shared" si="416"/>
        <v>0</v>
      </c>
      <c r="DD50" s="8">
        <v>0</v>
      </c>
      <c r="DE50" s="6">
        <f t="shared" si="417"/>
        <v>0</v>
      </c>
      <c r="DF50" s="6">
        <v>0</v>
      </c>
      <c r="DG50" s="6">
        <f>(DF50/$CX$4)*100</f>
        <v>0</v>
      </c>
      <c r="DH50" s="8">
        <v>0</v>
      </c>
      <c r="DI50" s="6">
        <f>(CY50/$V$4)*100</f>
        <v>100</v>
      </c>
      <c r="DJ50" s="6">
        <f t="shared" si="464"/>
        <v>100</v>
      </c>
      <c r="DK50" s="18">
        <f t="shared" si="465"/>
        <v>0</v>
      </c>
      <c r="DL50" s="6">
        <f>(DN50/($CX$4*DO50))*100</f>
        <v>6.8100358422939076</v>
      </c>
      <c r="DM50" s="6">
        <f>SUM(CZ50:DB50,DD50,DF50)</f>
        <v>744</v>
      </c>
      <c r="DN50" s="8">
        <v>1064</v>
      </c>
      <c r="DO50" s="8">
        <v>21</v>
      </c>
      <c r="DQ50" s="74" t="s">
        <v>58</v>
      </c>
      <c r="DR50" s="37" t="s">
        <v>47</v>
      </c>
      <c r="DS50" s="8">
        <v>744</v>
      </c>
      <c r="DT50" s="8">
        <v>119</v>
      </c>
      <c r="DU50" s="8">
        <v>625</v>
      </c>
      <c r="DV50" s="8">
        <v>0</v>
      </c>
      <c r="DW50" s="6">
        <f t="shared" si="420"/>
        <v>0</v>
      </c>
      <c r="DX50" s="8">
        <v>0</v>
      </c>
      <c r="DY50" s="6">
        <f t="shared" si="421"/>
        <v>0</v>
      </c>
      <c r="DZ50" s="6">
        <v>0</v>
      </c>
      <c r="EA50" s="6">
        <f>(DZ50/$DR$4)*100</f>
        <v>0</v>
      </c>
      <c r="EB50" s="8">
        <v>0</v>
      </c>
      <c r="EC50" s="6">
        <f>(DS50/$V$4)*100</f>
        <v>100</v>
      </c>
      <c r="ED50" s="6">
        <f t="shared" si="467"/>
        <v>100</v>
      </c>
      <c r="EE50" s="18">
        <f t="shared" si="468"/>
        <v>0</v>
      </c>
      <c r="EF50" s="6">
        <f>(EH50/($DR$4*EI50))*100</f>
        <v>15.130568356374807</v>
      </c>
      <c r="EG50" s="6">
        <f>SUM(DT50:DV50,DX50,DZ50)</f>
        <v>744</v>
      </c>
      <c r="EH50" s="86">
        <v>2364</v>
      </c>
      <c r="EI50" s="8">
        <v>21</v>
      </c>
      <c r="EK50" s="74" t="s">
        <v>58</v>
      </c>
      <c r="EL50" s="37" t="s">
        <v>47</v>
      </c>
      <c r="EM50" s="8">
        <v>672</v>
      </c>
      <c r="EN50" s="8">
        <v>93</v>
      </c>
      <c r="EO50" s="8">
        <v>579</v>
      </c>
      <c r="EP50" s="8">
        <v>0</v>
      </c>
      <c r="EQ50" s="6">
        <f t="shared" si="424"/>
        <v>0</v>
      </c>
      <c r="ER50" s="8">
        <v>0</v>
      </c>
      <c r="ES50" s="6">
        <f t="shared" si="425"/>
        <v>0</v>
      </c>
      <c r="ET50" s="6">
        <v>0</v>
      </c>
      <c r="EU50" s="6">
        <f>(ET50/$EL$4)*100</f>
        <v>0</v>
      </c>
      <c r="EV50" s="8">
        <v>0</v>
      </c>
      <c r="EW50" s="6">
        <f>(EM50/$V$4)*100</f>
        <v>90.322580645161281</v>
      </c>
      <c r="EX50" s="6">
        <f t="shared" si="469"/>
        <v>100</v>
      </c>
      <c r="EY50" s="18">
        <f t="shared" si="470"/>
        <v>0</v>
      </c>
      <c r="EZ50" s="6">
        <f>(FB50/($EL$4*FC50))*100</f>
        <v>12.145691609977325</v>
      </c>
      <c r="FA50" s="6">
        <f>SUM(EN50:EP50,ER50,ET50)</f>
        <v>672</v>
      </c>
      <c r="FB50" s="86">
        <v>1714</v>
      </c>
      <c r="FC50" s="8">
        <v>21</v>
      </c>
      <c r="FE50" s="74" t="s">
        <v>58</v>
      </c>
      <c r="FF50" s="37" t="s">
        <v>47</v>
      </c>
      <c r="FG50" s="8">
        <v>744</v>
      </c>
      <c r="FH50" s="8">
        <v>190.5</v>
      </c>
      <c r="FI50" s="8">
        <v>553.5</v>
      </c>
      <c r="FJ50" s="8">
        <v>0</v>
      </c>
      <c r="FK50" s="6">
        <f t="shared" si="439"/>
        <v>0</v>
      </c>
      <c r="FL50" s="8">
        <v>0</v>
      </c>
      <c r="FM50" s="6">
        <f t="shared" si="440"/>
        <v>0</v>
      </c>
      <c r="FN50" s="6">
        <v>0</v>
      </c>
      <c r="FO50" s="6">
        <f>(FN50/$FF$4)*100</f>
        <v>0</v>
      </c>
      <c r="FP50" s="8">
        <v>0</v>
      </c>
      <c r="FQ50" s="6">
        <f>(FG50/$V$4)*100</f>
        <v>100</v>
      </c>
      <c r="FR50" s="6">
        <f t="shared" si="473"/>
        <v>100</v>
      </c>
      <c r="FS50" s="18">
        <f t="shared" si="474"/>
        <v>0</v>
      </c>
      <c r="FT50" s="6">
        <f>(FV50/($FF$4*FW50))*100</f>
        <v>22.574244751664107</v>
      </c>
      <c r="FU50" s="6">
        <f>SUM(FH50:FJ50,FL50,FN50)</f>
        <v>744</v>
      </c>
      <c r="FV50" s="86">
        <v>3527</v>
      </c>
      <c r="FW50" s="8">
        <v>21</v>
      </c>
      <c r="FY50" s="74" t="s">
        <v>58</v>
      </c>
      <c r="FZ50" s="37" t="s">
        <v>47</v>
      </c>
      <c r="GA50" s="8">
        <v>720</v>
      </c>
      <c r="GB50" s="8">
        <v>267.8</v>
      </c>
      <c r="GC50" s="8">
        <v>452.2</v>
      </c>
      <c r="GD50" s="8">
        <v>0</v>
      </c>
      <c r="GE50" s="6">
        <f>(GD50/$FZ$4)</f>
        <v>0</v>
      </c>
      <c r="GF50" s="8">
        <v>0</v>
      </c>
      <c r="GG50" s="8">
        <f t="shared" si="431"/>
        <v>0</v>
      </c>
      <c r="GH50" s="8">
        <v>0</v>
      </c>
      <c r="GI50" s="6">
        <f>(GH50/$FZ$4)*100</f>
        <v>0</v>
      </c>
      <c r="GJ50" s="8">
        <v>0</v>
      </c>
      <c r="GK50" s="6">
        <f>(GA50/$V$4)*100</f>
        <v>96.774193548387103</v>
      </c>
      <c r="GL50" s="8">
        <f t="shared" ref="GL50:GL51" si="771">((GA50-GJ50)/$FZ$4)*100</f>
        <v>100</v>
      </c>
      <c r="GM50" s="6">
        <f t="shared" ref="GM50:GM51" si="772">IF((AND(GB50=0,GD50=0)),0,(GD50+GJ50)/(GB50+GD50)*100)</f>
        <v>0</v>
      </c>
      <c r="GN50" s="6">
        <f>(GP50/($FZ$4*GQ50))*100</f>
        <v>32.31481481481481</v>
      </c>
      <c r="GO50" s="6">
        <f>SUM(GB50:GD50,GF50,GH50)</f>
        <v>720</v>
      </c>
      <c r="GP50" s="85">
        <v>4886</v>
      </c>
      <c r="GQ50" s="8">
        <v>21</v>
      </c>
      <c r="GS50" s="74" t="s">
        <v>58</v>
      </c>
      <c r="GT50" s="37" t="s">
        <v>47</v>
      </c>
      <c r="GU50" s="8">
        <v>744</v>
      </c>
      <c r="GV50" s="8">
        <v>125.1</v>
      </c>
      <c r="GW50" s="8">
        <v>618.9</v>
      </c>
      <c r="GX50" s="8">
        <v>0</v>
      </c>
      <c r="GY50" s="8">
        <f t="shared" si="559"/>
        <v>0</v>
      </c>
      <c r="GZ50" s="8">
        <v>0</v>
      </c>
      <c r="HA50" s="8">
        <f t="shared" si="560"/>
        <v>0</v>
      </c>
      <c r="HB50" s="8">
        <v>0</v>
      </c>
      <c r="HC50" s="6">
        <f>(HB50/$GT$4)*100</f>
        <v>0</v>
      </c>
      <c r="HD50" s="8">
        <v>0</v>
      </c>
      <c r="HE50" s="6">
        <f>(GU50/$GT$4)*100</f>
        <v>100</v>
      </c>
      <c r="HF50" s="8">
        <f t="shared" si="396"/>
        <v>100</v>
      </c>
      <c r="HG50" s="8">
        <f t="shared" si="397"/>
        <v>0</v>
      </c>
      <c r="HH50" s="6">
        <f t="shared" ref="HH50:HH51" si="773">(HJ50/($GT$4*HK50))*100</f>
        <v>14.349718381976444</v>
      </c>
      <c r="HI50" s="6">
        <f>SUM(GV50:GX50,GZ50,HB50)</f>
        <v>744</v>
      </c>
      <c r="HJ50" s="86">
        <v>2242</v>
      </c>
      <c r="HK50" s="8">
        <v>21</v>
      </c>
      <c r="HM50" s="74" t="s">
        <v>58</v>
      </c>
      <c r="HN50" s="37" t="s">
        <v>47</v>
      </c>
      <c r="HO50" s="8">
        <v>720</v>
      </c>
      <c r="HP50" s="8">
        <v>182.6</v>
      </c>
      <c r="HQ50" s="8">
        <v>537.4</v>
      </c>
      <c r="HR50" s="8">
        <v>0</v>
      </c>
      <c r="HS50" s="6">
        <f>(HR50/$HN$4)*100</f>
        <v>0</v>
      </c>
      <c r="HT50" s="8">
        <v>0</v>
      </c>
      <c r="HU50" s="6">
        <f>(HT50/$HN$4)*100</f>
        <v>0</v>
      </c>
      <c r="HV50" s="8">
        <v>0</v>
      </c>
      <c r="HW50" s="6">
        <f>(HV50/$HN$4)*100</f>
        <v>0</v>
      </c>
      <c r="HX50" s="8">
        <v>0</v>
      </c>
      <c r="HY50" s="6">
        <f>(HO50/$HN$4)*100</f>
        <v>100</v>
      </c>
      <c r="HZ50" s="21">
        <f>((HO50-HX50)/$HN$4)*100</f>
        <v>100</v>
      </c>
      <c r="IA50" s="21">
        <f t="shared" ref="IA50:IA51" si="774">IF((AND(HP50=0,HR50=0)),0,(HR50+HX50)/(HP50+HR50)*100)</f>
        <v>0</v>
      </c>
      <c r="IB50" s="6">
        <f>(ID50/($HN$4*IE50))*100</f>
        <v>21.640211640211639</v>
      </c>
      <c r="IC50" s="6">
        <f>SUM(HP50:HR50,HT50,HV50)</f>
        <v>720</v>
      </c>
      <c r="ID50" s="46">
        <v>3272</v>
      </c>
      <c r="IE50" s="8">
        <v>21</v>
      </c>
      <c r="IF50" s="15">
        <v>20</v>
      </c>
    </row>
    <row r="51" spans="1:240" ht="14.25" x14ac:dyDescent="0.25">
      <c r="B51" s="37" t="s">
        <v>48</v>
      </c>
      <c r="C51" s="8">
        <v>744</v>
      </c>
      <c r="D51" s="8">
        <v>0</v>
      </c>
      <c r="E51" s="8">
        <v>744</v>
      </c>
      <c r="F51" s="8">
        <v>0</v>
      </c>
      <c r="G51" s="6">
        <f t="shared" si="339"/>
        <v>0</v>
      </c>
      <c r="H51" s="8">
        <v>0</v>
      </c>
      <c r="I51" s="6">
        <f t="shared" si="340"/>
        <v>0</v>
      </c>
      <c r="J51" s="6">
        <v>0</v>
      </c>
      <c r="K51" s="6">
        <f t="shared" si="524"/>
        <v>0</v>
      </c>
      <c r="L51" s="8">
        <v>0</v>
      </c>
      <c r="M51" s="6">
        <f t="shared" ref="M51" si="775">(C51/$B$4)*100</f>
        <v>100</v>
      </c>
      <c r="N51" s="8">
        <f t="shared" si="525"/>
        <v>100</v>
      </c>
      <c r="O51" s="15">
        <f t="shared" si="526"/>
        <v>0</v>
      </c>
      <c r="P51" s="6">
        <f t="shared" ref="P51" si="776">(R51/($B$4*S51))*100</f>
        <v>0</v>
      </c>
      <c r="Q51" s="6">
        <f t="shared" ref="Q51" si="777">SUM(D51:F51,H51,J51)</f>
        <v>744</v>
      </c>
      <c r="R51" s="8">
        <v>0</v>
      </c>
      <c r="S51" s="8">
        <v>21</v>
      </c>
      <c r="V51" s="37" t="s">
        <v>48</v>
      </c>
      <c r="W51" s="8">
        <v>744</v>
      </c>
      <c r="X51" s="8">
        <v>0</v>
      </c>
      <c r="Y51" s="8">
        <v>744</v>
      </c>
      <c r="Z51" s="8">
        <v>0</v>
      </c>
      <c r="AA51" s="8">
        <f t="shared" si="645"/>
        <v>0</v>
      </c>
      <c r="AB51" s="8">
        <v>0</v>
      </c>
      <c r="AC51" s="8">
        <f t="shared" si="646"/>
        <v>0</v>
      </c>
      <c r="AD51" s="8">
        <v>0</v>
      </c>
      <c r="AE51" s="6">
        <f t="shared" si="763"/>
        <v>0</v>
      </c>
      <c r="AF51" s="8">
        <v>0</v>
      </c>
      <c r="AG51" s="6">
        <f>(W51/$V$4)*100</f>
        <v>100</v>
      </c>
      <c r="AH51" s="8">
        <f t="shared" si="647"/>
        <v>100</v>
      </c>
      <c r="AI51" s="8">
        <f t="shared" si="648"/>
        <v>0</v>
      </c>
      <c r="AJ51" s="6">
        <f t="shared" ref="AJ51" si="778">(AL51/($V$4*AM51))*100</f>
        <v>0</v>
      </c>
      <c r="AK51" s="6">
        <f t="shared" ref="AK51" si="779">SUM(X51:Z51,AB51,AD51)</f>
        <v>744</v>
      </c>
      <c r="AL51" s="8">
        <v>0</v>
      </c>
      <c r="AM51" s="8">
        <v>21</v>
      </c>
      <c r="AP51" s="37" t="s">
        <v>48</v>
      </c>
      <c r="AQ51" s="8">
        <v>720</v>
      </c>
      <c r="AR51" s="8">
        <v>0</v>
      </c>
      <c r="AS51" s="8">
        <v>720</v>
      </c>
      <c r="AT51" s="8">
        <v>0</v>
      </c>
      <c r="AU51" s="8">
        <f t="shared" si="121"/>
        <v>0</v>
      </c>
      <c r="AV51" s="8">
        <v>0</v>
      </c>
      <c r="AW51" s="8">
        <f t="shared" si="122"/>
        <v>0</v>
      </c>
      <c r="AX51" s="8">
        <v>0</v>
      </c>
      <c r="AY51" s="6">
        <f>(AX51/$AP$4)*100</f>
        <v>0</v>
      </c>
      <c r="AZ51" s="8">
        <v>0</v>
      </c>
      <c r="BA51" s="6">
        <f t="shared" ref="BA51" si="780">(AQ51/$AP$4)*100</f>
        <v>100</v>
      </c>
      <c r="BB51" s="6">
        <f t="shared" si="456"/>
        <v>100</v>
      </c>
      <c r="BC51" s="15">
        <f t="shared" si="457"/>
        <v>0</v>
      </c>
      <c r="BD51" s="6">
        <f t="shared" si="764"/>
        <v>0</v>
      </c>
      <c r="BE51" s="6">
        <f t="shared" ref="BE51" si="781">SUM(AR51:AT51,AV51,AX51)</f>
        <v>720</v>
      </c>
      <c r="BF51" s="8">
        <v>0</v>
      </c>
      <c r="BG51" s="8">
        <v>21</v>
      </c>
      <c r="BJ51" s="37" t="s">
        <v>48</v>
      </c>
      <c r="BK51" s="8">
        <v>744</v>
      </c>
      <c r="BL51" s="8">
        <v>0</v>
      </c>
      <c r="BM51" s="8">
        <v>744</v>
      </c>
      <c r="BN51" s="8">
        <v>0</v>
      </c>
      <c r="BO51" s="6">
        <f t="shared" si="126"/>
        <v>0</v>
      </c>
      <c r="BP51" s="8">
        <v>0</v>
      </c>
      <c r="BQ51" s="8">
        <f t="shared" si="127"/>
        <v>0</v>
      </c>
      <c r="BR51" s="8">
        <v>0</v>
      </c>
      <c r="BS51" s="6">
        <f>(BR51/$BJ$4)*100</f>
        <v>0</v>
      </c>
      <c r="BT51" s="8">
        <v>0</v>
      </c>
      <c r="BU51" s="6">
        <f t="shared" ref="BU51" si="782">(BK51/$BJ$4)*100</f>
        <v>100</v>
      </c>
      <c r="BV51" s="6">
        <f t="shared" si="460"/>
        <v>100</v>
      </c>
      <c r="BW51" s="6">
        <f t="shared" si="461"/>
        <v>0</v>
      </c>
      <c r="BX51" s="6">
        <f t="shared" si="765"/>
        <v>0</v>
      </c>
      <c r="BY51" s="6">
        <f t="shared" ref="BY51" si="783">SUM(BL51:BN51,BP51,BR51)</f>
        <v>744</v>
      </c>
      <c r="BZ51" s="8">
        <v>0</v>
      </c>
      <c r="CA51" s="8">
        <v>21</v>
      </c>
      <c r="CD51" s="37" t="s">
        <v>48</v>
      </c>
      <c r="CE51" s="8">
        <v>720</v>
      </c>
      <c r="CF51" s="8">
        <v>0.3</v>
      </c>
      <c r="CG51" s="8">
        <v>719.7</v>
      </c>
      <c r="CH51" s="8">
        <v>0</v>
      </c>
      <c r="CI51" s="6">
        <f t="shared" si="766"/>
        <v>0</v>
      </c>
      <c r="CJ51" s="8">
        <v>0</v>
      </c>
      <c r="CK51" s="6">
        <f t="shared" si="767"/>
        <v>0</v>
      </c>
      <c r="CL51" s="6">
        <v>0</v>
      </c>
      <c r="CM51" s="6">
        <f t="shared" ref="CM51" si="784">(CL51/$CD$4)*100</f>
        <v>0</v>
      </c>
      <c r="CN51" s="8">
        <v>0</v>
      </c>
      <c r="CO51" s="6">
        <f t="shared" ref="CO51" si="785">(CE51/$CD$4)*100</f>
        <v>100</v>
      </c>
      <c r="CP51" s="6">
        <f t="shared" si="768"/>
        <v>100</v>
      </c>
      <c r="CQ51" s="18">
        <f t="shared" si="769"/>
        <v>0</v>
      </c>
      <c r="CR51" s="6">
        <f t="shared" si="770"/>
        <v>6.6137566137566143E-3</v>
      </c>
      <c r="CS51" s="6">
        <f t="shared" ref="CS51" si="786">SUM(CF51:CH51,CJ51,CL51)</f>
        <v>720</v>
      </c>
      <c r="CT51" s="8">
        <v>1</v>
      </c>
      <c r="CU51" s="8">
        <v>21</v>
      </c>
      <c r="CX51" s="37" t="s">
        <v>48</v>
      </c>
      <c r="CY51" s="8">
        <v>744</v>
      </c>
      <c r="CZ51" s="8">
        <v>12.9</v>
      </c>
      <c r="DA51" s="8">
        <v>731.1</v>
      </c>
      <c r="DB51" s="8">
        <v>0</v>
      </c>
      <c r="DC51" s="6">
        <f t="shared" si="416"/>
        <v>0</v>
      </c>
      <c r="DD51" s="8">
        <v>0</v>
      </c>
      <c r="DE51" s="6">
        <f t="shared" si="417"/>
        <v>0</v>
      </c>
      <c r="DF51" s="6">
        <v>0</v>
      </c>
      <c r="DG51" s="6">
        <f t="shared" ref="DG51" si="787">(DF51/$CX$4)*100</f>
        <v>0</v>
      </c>
      <c r="DH51" s="8">
        <v>0</v>
      </c>
      <c r="DI51" s="6">
        <f>(CY51/$V$4)*100</f>
        <v>100</v>
      </c>
      <c r="DJ51" s="6">
        <f t="shared" si="464"/>
        <v>100</v>
      </c>
      <c r="DK51" s="18">
        <f t="shared" si="465"/>
        <v>0</v>
      </c>
      <c r="DL51" s="6">
        <f t="shared" ref="DL51" si="788">(DN51/($CX$4*DO51))*100</f>
        <v>1.1840757808499742</v>
      </c>
      <c r="DM51" s="6">
        <f t="shared" ref="DM51" si="789">SUM(CZ51:DB51,DD51,DF51)</f>
        <v>744</v>
      </c>
      <c r="DN51" s="8">
        <v>185</v>
      </c>
      <c r="DO51" s="8">
        <v>21</v>
      </c>
      <c r="DR51" s="37" t="s">
        <v>48</v>
      </c>
      <c r="DS51" s="8">
        <v>744</v>
      </c>
      <c r="DT51" s="8">
        <v>55.2</v>
      </c>
      <c r="DU51" s="8">
        <v>688.8</v>
      </c>
      <c r="DV51" s="8">
        <v>0</v>
      </c>
      <c r="DW51" s="6">
        <f t="shared" si="420"/>
        <v>0</v>
      </c>
      <c r="DX51" s="8">
        <v>0</v>
      </c>
      <c r="DY51" s="6">
        <f t="shared" si="421"/>
        <v>0</v>
      </c>
      <c r="DZ51" s="6">
        <v>0</v>
      </c>
      <c r="EA51" s="6">
        <f>(DZ51/$DR$4)*100</f>
        <v>0</v>
      </c>
      <c r="EB51" s="8">
        <v>0</v>
      </c>
      <c r="EC51" s="6">
        <f>(DS51/$V$4)*100</f>
        <v>100</v>
      </c>
      <c r="ED51" s="6">
        <f t="shared" si="467"/>
        <v>100</v>
      </c>
      <c r="EE51" s="18">
        <f t="shared" si="468"/>
        <v>0</v>
      </c>
      <c r="EF51" s="6">
        <f t="shared" ref="EF51" si="790">(EH51/($DR$4*EI51))*100</f>
        <v>5.779569892473118</v>
      </c>
      <c r="EG51" s="6">
        <f t="shared" ref="EG51" si="791">SUM(DT51:DV51,DX51,DZ51)</f>
        <v>744</v>
      </c>
      <c r="EH51" s="8">
        <v>903</v>
      </c>
      <c r="EI51" s="8">
        <v>21</v>
      </c>
      <c r="EL51" s="37" t="s">
        <v>48</v>
      </c>
      <c r="EM51" s="8">
        <v>672</v>
      </c>
      <c r="EN51" s="8">
        <v>81</v>
      </c>
      <c r="EO51" s="8">
        <v>591</v>
      </c>
      <c r="EP51" s="8">
        <v>0</v>
      </c>
      <c r="EQ51" s="6">
        <f t="shared" si="424"/>
        <v>0</v>
      </c>
      <c r="ER51" s="8">
        <v>0</v>
      </c>
      <c r="ES51" s="6">
        <f t="shared" si="425"/>
        <v>0</v>
      </c>
      <c r="ET51" s="6">
        <v>0</v>
      </c>
      <c r="EU51" s="6">
        <f>(ET51/$EL$4)*100</f>
        <v>0</v>
      </c>
      <c r="EV51" s="8">
        <v>0</v>
      </c>
      <c r="EW51" s="6">
        <f>(EM51/$V$4)*100</f>
        <v>90.322580645161281</v>
      </c>
      <c r="EX51" s="6">
        <f t="shared" si="469"/>
        <v>100</v>
      </c>
      <c r="EY51" s="18">
        <f t="shared" si="470"/>
        <v>0</v>
      </c>
      <c r="EZ51" s="6">
        <f t="shared" ref="EZ51" si="792">(FB51/($EL$4*FC51))*100</f>
        <v>10.607993197278912</v>
      </c>
      <c r="FA51" s="6">
        <f t="shared" ref="FA51" si="793">SUM(EN51:EP51,ER51,ET51)</f>
        <v>672</v>
      </c>
      <c r="FB51" s="86">
        <v>1497</v>
      </c>
      <c r="FC51" s="8">
        <v>21</v>
      </c>
      <c r="FF51" s="37" t="s">
        <v>48</v>
      </c>
      <c r="FG51" s="8">
        <v>744</v>
      </c>
      <c r="FH51" s="8">
        <v>156.4</v>
      </c>
      <c r="FI51" s="8">
        <v>587.6</v>
      </c>
      <c r="FJ51" s="8">
        <v>0</v>
      </c>
      <c r="FK51" s="6">
        <f t="shared" si="439"/>
        <v>0</v>
      </c>
      <c r="FL51" s="8">
        <v>0</v>
      </c>
      <c r="FM51" s="6">
        <f t="shared" si="440"/>
        <v>0</v>
      </c>
      <c r="FN51" s="6">
        <v>0</v>
      </c>
      <c r="FO51" s="6">
        <f t="shared" ref="FO51" si="794">(FN51/$FF$4)*100</f>
        <v>0</v>
      </c>
      <c r="FP51" s="8">
        <v>0</v>
      </c>
      <c r="FQ51" s="6">
        <f>(FG51/$V$4)*100</f>
        <v>100</v>
      </c>
      <c r="FR51" s="6">
        <f t="shared" si="473"/>
        <v>100</v>
      </c>
      <c r="FS51" s="18">
        <f t="shared" si="474"/>
        <v>0</v>
      </c>
      <c r="FT51" s="6">
        <f t="shared" ref="FT51" si="795">(FV51/($FF$4*FW51))*100</f>
        <v>18.625192012288785</v>
      </c>
      <c r="FU51" s="6">
        <f t="shared" ref="FU51" si="796">SUM(FH51:FJ51,FL51,FN51)</f>
        <v>744</v>
      </c>
      <c r="FV51" s="86">
        <v>2910</v>
      </c>
      <c r="FW51" s="8">
        <v>21</v>
      </c>
      <c r="FZ51" s="37" t="s">
        <v>48</v>
      </c>
      <c r="GA51" s="8">
        <v>720</v>
      </c>
      <c r="GB51" s="8">
        <v>159.30000000000001</v>
      </c>
      <c r="GC51" s="8">
        <v>560.70000000000005</v>
      </c>
      <c r="GD51" s="8">
        <v>0</v>
      </c>
      <c r="GE51" s="6">
        <f>(GD51/$FZ$4)</f>
        <v>0</v>
      </c>
      <c r="GF51" s="8">
        <v>0</v>
      </c>
      <c r="GG51" s="8">
        <f t="shared" si="431"/>
        <v>0</v>
      </c>
      <c r="GH51" s="8">
        <v>0</v>
      </c>
      <c r="GI51" s="6">
        <f t="shared" ref="GI51" si="797">(GH51/$FZ$4)*100</f>
        <v>0</v>
      </c>
      <c r="GJ51" s="8">
        <v>0</v>
      </c>
      <c r="GK51" s="6">
        <f>(GA51/$V$4)*100</f>
        <v>96.774193548387103</v>
      </c>
      <c r="GL51" s="8">
        <f t="shared" si="771"/>
        <v>100</v>
      </c>
      <c r="GM51" s="6">
        <f t="shared" si="772"/>
        <v>0</v>
      </c>
      <c r="GN51" s="6">
        <f t="shared" ref="GN51" si="798">(GP51/($FZ$4*GQ51))*100</f>
        <v>32.282499999999999</v>
      </c>
      <c r="GO51" s="6">
        <f t="shared" ref="GO51" si="799">SUM(GB51:GD51,GF51,GH51)</f>
        <v>720</v>
      </c>
      <c r="GP51" s="85">
        <v>4881.1139999999996</v>
      </c>
      <c r="GQ51" s="8">
        <v>21</v>
      </c>
      <c r="GT51" s="37" t="s">
        <v>48</v>
      </c>
      <c r="GU51" s="8">
        <v>744</v>
      </c>
      <c r="GV51" s="8">
        <v>51.8</v>
      </c>
      <c r="GW51" s="8">
        <v>692.2</v>
      </c>
      <c r="GX51" s="8">
        <v>0</v>
      </c>
      <c r="GY51" s="8">
        <f t="shared" si="559"/>
        <v>0</v>
      </c>
      <c r="GZ51" s="8">
        <v>0</v>
      </c>
      <c r="HA51" s="8">
        <f t="shared" si="560"/>
        <v>0</v>
      </c>
      <c r="HB51" s="8">
        <v>0</v>
      </c>
      <c r="HC51" s="6">
        <f t="shared" ref="HC51" si="800">(HB51/$GT$4)*100</f>
        <v>0</v>
      </c>
      <c r="HD51" s="8">
        <v>0</v>
      </c>
      <c r="HE51" s="6">
        <f>(GU51/$GT$4)*100</f>
        <v>100</v>
      </c>
      <c r="HF51" s="8">
        <f t="shared" si="396"/>
        <v>100</v>
      </c>
      <c r="HG51" s="8">
        <f t="shared" si="397"/>
        <v>0</v>
      </c>
      <c r="HH51" s="6">
        <f t="shared" si="773"/>
        <v>5.9523809523809517</v>
      </c>
      <c r="HI51" s="6">
        <f t="shared" ref="HI51" si="801">SUM(GV51:GX51,GZ51,HB51)</f>
        <v>744</v>
      </c>
      <c r="HJ51" s="8">
        <v>930</v>
      </c>
      <c r="HK51" s="8">
        <v>21</v>
      </c>
      <c r="HN51" s="37" t="s">
        <v>48</v>
      </c>
      <c r="HO51" s="8">
        <v>720</v>
      </c>
      <c r="HP51" s="8">
        <v>117.4</v>
      </c>
      <c r="HQ51" s="8">
        <v>602.6</v>
      </c>
      <c r="HR51" s="8">
        <v>0</v>
      </c>
      <c r="HS51" s="6">
        <f t="shared" ref="HS51" si="802">(HR51/$HN$4)*100</f>
        <v>0</v>
      </c>
      <c r="HT51" s="8">
        <v>0</v>
      </c>
      <c r="HU51" s="6">
        <f t="shared" ref="HU51" si="803">(HT51/$HN$4)*100</f>
        <v>0</v>
      </c>
      <c r="HV51" s="8">
        <v>0</v>
      </c>
      <c r="HW51" s="6">
        <f t="shared" ref="HW51" si="804">(HV51/$HN$4)*100</f>
        <v>0</v>
      </c>
      <c r="HX51" s="8">
        <v>0</v>
      </c>
      <c r="HY51" s="6">
        <f>(HO51/$HN$4)*100</f>
        <v>100</v>
      </c>
      <c r="HZ51" s="21">
        <f>((HO51-HX51)/$HN$4)*100</f>
        <v>100</v>
      </c>
      <c r="IA51" s="6">
        <f t="shared" si="774"/>
        <v>0</v>
      </c>
      <c r="IB51" s="6">
        <f>(ID51/($HN$4*IE51))*100</f>
        <v>13.597883597883598</v>
      </c>
      <c r="IC51" s="6">
        <f t="shared" ref="IC51" si="805">SUM(HP51:HR51,HT51,HV51)</f>
        <v>720</v>
      </c>
      <c r="ID51" s="46">
        <v>2056</v>
      </c>
      <c r="IE51" s="8">
        <v>21</v>
      </c>
      <c r="IF51" s="15">
        <v>21</v>
      </c>
    </row>
    <row r="52" spans="1:240" ht="15" x14ac:dyDescent="0.25">
      <c r="B52" s="95" t="s">
        <v>39</v>
      </c>
      <c r="C52" s="25">
        <f>SUM(C50:C51)</f>
        <v>1488</v>
      </c>
      <c r="D52" s="25">
        <f t="shared" ref="D52:L52" si="806">SUM(D50:D51)</f>
        <v>56</v>
      </c>
      <c r="E52" s="25">
        <f t="shared" si="806"/>
        <v>1432</v>
      </c>
      <c r="F52" s="25">
        <f t="shared" si="806"/>
        <v>0</v>
      </c>
      <c r="G52" s="26">
        <f>(G50*S50+G51*S51)/S52</f>
        <v>0</v>
      </c>
      <c r="H52" s="25">
        <f t="shared" si="806"/>
        <v>0</v>
      </c>
      <c r="I52" s="26">
        <f>(I50*S50+I51*S51)/S52</f>
        <v>0</v>
      </c>
      <c r="J52" s="26">
        <f>SUM(J50:J51)</f>
        <v>0</v>
      </c>
      <c r="K52" s="30">
        <f>(K50*S50+K51*S51)/S52</f>
        <v>0</v>
      </c>
      <c r="L52" s="25">
        <f t="shared" si="806"/>
        <v>0</v>
      </c>
      <c r="M52" s="26">
        <f>(M50*S50+M51*S51)/S52</f>
        <v>100</v>
      </c>
      <c r="N52" s="7">
        <f>(N50*S50+N51*S51)/S52</f>
        <v>100</v>
      </c>
      <c r="O52" s="7">
        <f>(O50*S50+O51*S51)/S52</f>
        <v>0</v>
      </c>
      <c r="P52" s="7">
        <f>(P50*S50+P51*S51)/S52</f>
        <v>3.2450076804915517</v>
      </c>
      <c r="Q52" s="30">
        <f>SUM(Q50:Q51)</f>
        <v>1488</v>
      </c>
      <c r="R52" s="27">
        <f>SUM(R50:R51)</f>
        <v>1014</v>
      </c>
      <c r="S52" s="25">
        <f>SUM(S50:S51)</f>
        <v>42</v>
      </c>
      <c r="V52" s="87" t="s">
        <v>39</v>
      </c>
      <c r="W52" s="29">
        <f>SUM(W50:W51)</f>
        <v>1488</v>
      </c>
      <c r="X52" s="29">
        <f t="shared" ref="X52:Z52" si="807">SUM(X50:X51)</f>
        <v>181.7</v>
      </c>
      <c r="Y52" s="29">
        <f>SUM(Y50:Y51)</f>
        <v>1306.3</v>
      </c>
      <c r="Z52" s="29">
        <f t="shared" si="807"/>
        <v>0</v>
      </c>
      <c r="AA52" s="30">
        <f>(AA50*AM50+AA51*AM51)/AM52</f>
        <v>0</v>
      </c>
      <c r="AB52" s="29">
        <f t="shared" ref="AB52:AF52" si="808">SUM(AB50:AB51)</f>
        <v>0</v>
      </c>
      <c r="AC52" s="30">
        <f>(AC50*AM50+AC51*AM51)/AM52</f>
        <v>0</v>
      </c>
      <c r="AD52" s="30">
        <f>SUM(AD50:AD51)</f>
        <v>0</v>
      </c>
      <c r="AE52" s="30">
        <f>SUM(AE50:AE51)</f>
        <v>0</v>
      </c>
      <c r="AF52" s="29">
        <f t="shared" si="808"/>
        <v>0</v>
      </c>
      <c r="AG52" s="26">
        <f>(AG50*AM50+AG51*AM51)/AM52</f>
        <v>100</v>
      </c>
      <c r="AH52" s="30">
        <f>(AH50*AM50+AH51*AM51)/AM52</f>
        <v>100</v>
      </c>
      <c r="AI52" s="30">
        <f>(AI50*AM50+AI51*AM51)/AM52</f>
        <v>0</v>
      </c>
      <c r="AJ52" s="7">
        <f>(AJ50*AM50+AJ51*AM51)/AM52</f>
        <v>10.954301075268818</v>
      </c>
      <c r="AK52" s="30">
        <f>SUM(AK50:AK51)</f>
        <v>1488</v>
      </c>
      <c r="AL52" s="33">
        <f>SUM(AL50:AL51)</f>
        <v>3423</v>
      </c>
      <c r="AM52" s="29">
        <f>SUM(AM50:AM51)</f>
        <v>42</v>
      </c>
      <c r="AP52" s="87" t="s">
        <v>39</v>
      </c>
      <c r="AQ52" s="29">
        <f>SUM(AQ50:AQ51)</f>
        <v>1440</v>
      </c>
      <c r="AR52" s="29">
        <f t="shared" ref="AR52:AT52" si="809">SUM(AR50:AR51)</f>
        <v>168</v>
      </c>
      <c r="AS52" s="29">
        <f>SUM(AS50:AS51)</f>
        <v>1272</v>
      </c>
      <c r="AT52" s="29">
        <f t="shared" si="809"/>
        <v>0</v>
      </c>
      <c r="AU52" s="30">
        <f>(AU50*BG50+AU51*BG51)/BG52</f>
        <v>0</v>
      </c>
      <c r="AV52" s="29">
        <f t="shared" ref="AV52:AZ52" si="810">SUM(AV50:AV51)</f>
        <v>0</v>
      </c>
      <c r="AW52" s="30">
        <f>(AW50*BG50+AW51*BG51)/BG52</f>
        <v>0</v>
      </c>
      <c r="AX52" s="30">
        <f>SUM(AX50:AX51)</f>
        <v>0</v>
      </c>
      <c r="AY52" s="30">
        <f>(AY50*BG50+AY51*BG51)/BG52</f>
        <v>0</v>
      </c>
      <c r="AZ52" s="29">
        <f t="shared" si="810"/>
        <v>0</v>
      </c>
      <c r="BA52" s="26">
        <f>(BA50*BG50+BA51*BG51)/BG52</f>
        <v>100</v>
      </c>
      <c r="BB52" s="30">
        <f>(BB50*BG50+BB51*BG51)/BG52</f>
        <v>100</v>
      </c>
      <c r="BC52" s="30">
        <f>(BC50*BG50+BC51*BG51)/BG52</f>
        <v>0</v>
      </c>
      <c r="BD52" s="7">
        <f>(BD50*BG50+BD51*BG51)/BG52</f>
        <v>10.548941798941799</v>
      </c>
      <c r="BE52" s="30">
        <f>SUM(BE50:BE51)</f>
        <v>1440</v>
      </c>
      <c r="BF52" s="33">
        <f>SUM(BF50:BF51)</f>
        <v>3190</v>
      </c>
      <c r="BG52" s="29">
        <f>SUM(BG50:BG51)</f>
        <v>42</v>
      </c>
      <c r="BJ52" s="87" t="s">
        <v>39</v>
      </c>
      <c r="BK52" s="29">
        <f>SUM(BK50:BK51)</f>
        <v>1488</v>
      </c>
      <c r="BL52" s="29">
        <f t="shared" ref="BL52:BN52" si="811">SUM(BL50:BL51)</f>
        <v>143.6</v>
      </c>
      <c r="BM52" s="29">
        <f>SUM(BM50:BM51)</f>
        <v>1344.4</v>
      </c>
      <c r="BN52" s="29">
        <f t="shared" si="811"/>
        <v>0</v>
      </c>
      <c r="BO52" s="30">
        <f>(BO50*CA50+BO51*CA51)/CA52</f>
        <v>0</v>
      </c>
      <c r="BP52" s="29">
        <f t="shared" ref="BP52:BT52" si="812">SUM(BP50:BP51)</f>
        <v>0</v>
      </c>
      <c r="BQ52" s="30">
        <f>(BQ50*CA50+BQ51*CA51)/CA52</f>
        <v>0</v>
      </c>
      <c r="BR52" s="30">
        <f>SUM(BR50:BR51)</f>
        <v>0</v>
      </c>
      <c r="BS52" s="30">
        <f>(BS50*CA50+BS51*CA51)/CA52</f>
        <v>0</v>
      </c>
      <c r="BT52" s="29">
        <f t="shared" si="812"/>
        <v>0</v>
      </c>
      <c r="BU52" s="26">
        <f>(BU50*CA50+BU51*CA51)/CA52</f>
        <v>100</v>
      </c>
      <c r="BV52" s="30">
        <f>(BV50*CA50+BV51*CA51)/CA52</f>
        <v>100</v>
      </c>
      <c r="BW52" s="30">
        <f>(BW50*CA50+BW51*CA51)/CA52</f>
        <v>0</v>
      </c>
      <c r="BX52" s="7">
        <f>(BX50*CA50+BX51*CA51)/CA52</f>
        <v>8.7813620071684575</v>
      </c>
      <c r="BY52" s="30">
        <f>SUM(BY50:BY51)</f>
        <v>1488</v>
      </c>
      <c r="BZ52" s="33">
        <f>SUM(BZ50:BZ51)</f>
        <v>2744</v>
      </c>
      <c r="CA52" s="29">
        <f>SUM(CA50:CA51)</f>
        <v>42</v>
      </c>
      <c r="CD52" s="87" t="s">
        <v>39</v>
      </c>
      <c r="CE52" s="29">
        <f>SUM(CE50:CE51)</f>
        <v>1440</v>
      </c>
      <c r="CF52" s="29">
        <f t="shared" ref="CF52:CH52" si="813">SUM(CF50:CF51)</f>
        <v>35.599999999999994</v>
      </c>
      <c r="CG52" s="29">
        <f>SUM(CG50:CG51)</f>
        <v>1404.4</v>
      </c>
      <c r="CH52" s="29">
        <f t="shared" si="813"/>
        <v>0</v>
      </c>
      <c r="CI52" s="30">
        <f>(CI50*CU50+CI51*CU51)/CU52</f>
        <v>0</v>
      </c>
      <c r="CJ52" s="29">
        <f t="shared" ref="CJ52:CN52" si="814">SUM(CJ50:CJ51)</f>
        <v>0</v>
      </c>
      <c r="CK52" s="30">
        <f>(CK50*CU50+CK51*CU51)/CU52</f>
        <v>0</v>
      </c>
      <c r="CL52" s="30">
        <f>SUM(CL50:CL51)</f>
        <v>0</v>
      </c>
      <c r="CM52" s="26">
        <f>(CM50*CU50+CM51*CU51)/CU52</f>
        <v>0</v>
      </c>
      <c r="CN52" s="29">
        <f t="shared" si="814"/>
        <v>0</v>
      </c>
      <c r="CO52" s="26">
        <f>(CO50*CU50+CO51*CU51)/CU52</f>
        <v>100</v>
      </c>
      <c r="CP52" s="30">
        <f>(CP50*CU50+CP51*CU51)/CU52</f>
        <v>100</v>
      </c>
      <c r="CQ52" s="30">
        <f>(CQ50*CU50+CQ51*CU51)/CU52</f>
        <v>0</v>
      </c>
      <c r="CR52" s="7">
        <f>(CR50*CU50+CR51*CU51)/CU52</f>
        <v>2.212301587301587</v>
      </c>
      <c r="CS52" s="30">
        <f>SUM(CS50:CS51)</f>
        <v>1440</v>
      </c>
      <c r="CT52" s="29">
        <f>SUM(CT50:CT51)</f>
        <v>669</v>
      </c>
      <c r="CU52" s="29">
        <f>SUM(CU50:CU51)</f>
        <v>42</v>
      </c>
      <c r="CX52" s="87" t="s">
        <v>39</v>
      </c>
      <c r="CY52" s="29">
        <f>SUM(CY50:CY51)</f>
        <v>1488</v>
      </c>
      <c r="CZ52" s="29">
        <f t="shared" ref="CZ52:DB52" si="815">SUM(CZ50:CZ51)</f>
        <v>68.8</v>
      </c>
      <c r="DA52" s="29">
        <f>SUM(DA50:DA51)</f>
        <v>1419.2</v>
      </c>
      <c r="DB52" s="29">
        <f t="shared" si="815"/>
        <v>0</v>
      </c>
      <c r="DC52" s="30">
        <f>(DC50*DO50+DC51*DO51)/DO52</f>
        <v>0</v>
      </c>
      <c r="DD52" s="29">
        <f t="shared" ref="DD52:DH52" si="816">SUM(DD50:DD51)</f>
        <v>0</v>
      </c>
      <c r="DE52" s="30">
        <f>(DE50*DO50+DE51*DO51)/DO52</f>
        <v>0</v>
      </c>
      <c r="DF52" s="30">
        <f>SUM(DF50:DF51)</f>
        <v>0</v>
      </c>
      <c r="DG52" s="30">
        <f>(DG50*DO50+DG51*DO51)/DO52</f>
        <v>0</v>
      </c>
      <c r="DH52" s="29">
        <f t="shared" si="816"/>
        <v>0</v>
      </c>
      <c r="DI52" s="26">
        <f>(DI50*DO50+DI51*DO51)/DO52</f>
        <v>100</v>
      </c>
      <c r="DJ52" s="30">
        <f>(DJ50*DO50+DJ51*DO51)/DO52</f>
        <v>100</v>
      </c>
      <c r="DK52" s="30">
        <f>(DK50*DO50+DK51*DO51)/DO52</f>
        <v>0</v>
      </c>
      <c r="DL52" s="7">
        <f>(DL50*DO50+DL51*DO51)/DO52</f>
        <v>3.9970558115719412</v>
      </c>
      <c r="DM52" s="30">
        <f>SUM(DM50:DM51)</f>
        <v>1488</v>
      </c>
      <c r="DN52" s="33">
        <f>SUM(DN50:DN51)</f>
        <v>1249</v>
      </c>
      <c r="DO52" s="29">
        <f>SUM(DO50:DO51)</f>
        <v>42</v>
      </c>
      <c r="DR52" s="87" t="s">
        <v>39</v>
      </c>
      <c r="DS52" s="29">
        <f>SUM(DS50:DS51)</f>
        <v>1488</v>
      </c>
      <c r="DT52" s="29">
        <f t="shared" ref="DT52:DV52" si="817">SUM(DT50:DT51)</f>
        <v>174.2</v>
      </c>
      <c r="DU52" s="29">
        <f>SUM(DU50:DU51)</f>
        <v>1313.8</v>
      </c>
      <c r="DV52" s="29">
        <f t="shared" si="817"/>
        <v>0</v>
      </c>
      <c r="DW52" s="30">
        <f>(DW50*EI50+DW51*EI51)/EI52</f>
        <v>0</v>
      </c>
      <c r="DX52" s="29">
        <f t="shared" ref="DX52:EB52" si="818">SUM(DX50:DX51)</f>
        <v>0</v>
      </c>
      <c r="DY52" s="30">
        <f>(DY50*EI50+DY51*EI51)/EI52</f>
        <v>0</v>
      </c>
      <c r="DZ52" s="30">
        <f>SUM(DZ50:DZ51)</f>
        <v>0</v>
      </c>
      <c r="EA52" s="30">
        <f>(EA50*EI50+EA51*EI51)/EI52</f>
        <v>0</v>
      </c>
      <c r="EB52" s="29">
        <f t="shared" si="818"/>
        <v>0</v>
      </c>
      <c r="EC52" s="26">
        <f>(EC50*EI50+EC51*EI51)/EI52</f>
        <v>100</v>
      </c>
      <c r="ED52" s="30">
        <f>(ED50*EI50+ED51*EI51)/EI52</f>
        <v>100</v>
      </c>
      <c r="EE52" s="30">
        <f>(EE50*EI50+EE51*EI51)/EI52</f>
        <v>0</v>
      </c>
      <c r="EF52" s="7">
        <f>(EF50*EI50+EF51*EI51)/EI52</f>
        <v>10.455069124423963</v>
      </c>
      <c r="EG52" s="30">
        <f>SUM(EG50:EG51)</f>
        <v>1488</v>
      </c>
      <c r="EH52" s="33">
        <f>SUM(EH50:EH51)</f>
        <v>3267</v>
      </c>
      <c r="EI52" s="29">
        <f>SUM(EI50:EI51)</f>
        <v>42</v>
      </c>
      <c r="EL52" s="95" t="s">
        <v>39</v>
      </c>
      <c r="EM52" s="29">
        <f>SUM(EM50:EM51)</f>
        <v>1344</v>
      </c>
      <c r="EN52" s="29">
        <f t="shared" ref="EN52:EP52" si="819">SUM(EN50:EN51)</f>
        <v>174</v>
      </c>
      <c r="EO52" s="29">
        <f>SUM(EO50:EO51)</f>
        <v>1170</v>
      </c>
      <c r="EP52" s="29">
        <f t="shared" si="819"/>
        <v>0</v>
      </c>
      <c r="EQ52" s="30">
        <f>(EQ50*FC50+EQ51*FC51)/FC52</f>
        <v>0</v>
      </c>
      <c r="ER52" s="29">
        <f t="shared" ref="ER52:EV52" si="820">SUM(ER50:ER51)</f>
        <v>0</v>
      </c>
      <c r="ES52" s="30">
        <f>(ES50*FC50+ES51*FC51)/FC52</f>
        <v>0</v>
      </c>
      <c r="ET52" s="30">
        <f>SUM(ET50:ET51)</f>
        <v>0</v>
      </c>
      <c r="EU52" s="30">
        <f>(EU50*FC50+EU51*FC51)/FC52</f>
        <v>0</v>
      </c>
      <c r="EV52" s="29">
        <f t="shared" si="820"/>
        <v>0</v>
      </c>
      <c r="EW52" s="26">
        <f>(EW50*FC50+EW51*FC51)/FC52</f>
        <v>90.322580645161281</v>
      </c>
      <c r="EX52" s="30">
        <f>(EX50*FC50+EX51*FC51)/FC52</f>
        <v>100</v>
      </c>
      <c r="EY52" s="30">
        <f>(EY50*FC50+EY51*FC51)/FC52</f>
        <v>0</v>
      </c>
      <c r="EZ52" s="7">
        <f>(EZ50*FC50+EZ51*FC51)/FC52</f>
        <v>11.376842403628117</v>
      </c>
      <c r="FA52" s="30">
        <f>SUM(FA50:FA51)</f>
        <v>1344</v>
      </c>
      <c r="FB52" s="33">
        <f>SUM(FB50:FB51)</f>
        <v>3211</v>
      </c>
      <c r="FC52" s="29">
        <f>SUM(FC50:FC51)</f>
        <v>42</v>
      </c>
      <c r="FF52" s="87" t="s">
        <v>39</v>
      </c>
      <c r="FG52" s="29">
        <f>SUM(FG50:FG51)</f>
        <v>1488</v>
      </c>
      <c r="FH52" s="29">
        <f t="shared" ref="FH52:FJ52" si="821">SUM(FH50:FH51)</f>
        <v>346.9</v>
      </c>
      <c r="FI52" s="29">
        <f>SUM(FI50:FI51)</f>
        <v>1141.0999999999999</v>
      </c>
      <c r="FJ52" s="29">
        <f t="shared" si="821"/>
        <v>0</v>
      </c>
      <c r="FK52" s="30">
        <f>(FK50*FW50+FK51*FW51)/FW52</f>
        <v>0</v>
      </c>
      <c r="FL52" s="29">
        <f t="shared" ref="FL52:FP52" si="822">SUM(FL50:FL51)</f>
        <v>0</v>
      </c>
      <c r="FM52" s="30">
        <f>(FM50*FW50+FM51*FW51)/FW52</f>
        <v>0</v>
      </c>
      <c r="FN52" s="30">
        <f>SUM(FN50:FN51)</f>
        <v>0</v>
      </c>
      <c r="FO52" s="30">
        <f>(FO50*FW50+FO51*FW51)/FW52</f>
        <v>0</v>
      </c>
      <c r="FP52" s="29">
        <f t="shared" si="822"/>
        <v>0</v>
      </c>
      <c r="FQ52" s="26">
        <f>(FQ50*FW50+FQ51*FW51)/FW52</f>
        <v>100</v>
      </c>
      <c r="FR52" s="30">
        <f>(FR50*FW50+FR51*FW51)/FW52</f>
        <v>100</v>
      </c>
      <c r="FS52" s="30">
        <f>(FS50*FW50+FS51*FW51)/FW52</f>
        <v>0</v>
      </c>
      <c r="FT52" s="7">
        <f>(FT50*FW50+FT51*FW51)/FW52</f>
        <v>20.599718381976448</v>
      </c>
      <c r="FU52" s="30">
        <f>SUM(FU50:FU51)</f>
        <v>1488</v>
      </c>
      <c r="FV52" s="89">
        <f>SUM(FV50:FV51)</f>
        <v>6437</v>
      </c>
      <c r="FW52" s="29">
        <f>SUM(FW50:FW51)</f>
        <v>42</v>
      </c>
      <c r="FZ52" s="95" t="s">
        <v>39</v>
      </c>
      <c r="GA52" s="29">
        <f>SUM(GA50:GA51)</f>
        <v>1440</v>
      </c>
      <c r="GB52" s="29">
        <f t="shared" ref="GB52:GD52" si="823">SUM(GB50:GB51)</f>
        <v>427.1</v>
      </c>
      <c r="GC52" s="29">
        <f>SUM(GC50:GC51)</f>
        <v>1012.9000000000001</v>
      </c>
      <c r="GD52" s="29">
        <f t="shared" si="823"/>
        <v>0</v>
      </c>
      <c r="GE52" s="79">
        <f>(GE50*GQ50+GE51*GQ51)/GQ52</f>
        <v>0</v>
      </c>
      <c r="GF52" s="29">
        <f t="shared" ref="GF52:GJ52" si="824">SUM(GF50:GF51)</f>
        <v>0</v>
      </c>
      <c r="GG52" s="30">
        <f>(GG50*GQ50+GG51*GQ51)/GQ52</f>
        <v>0</v>
      </c>
      <c r="GH52" s="30">
        <f>SUM(GH50:GH51)</f>
        <v>0</v>
      </c>
      <c r="GI52" s="26">
        <f>(GI50*GQ50+GI51*GQ51)/GQ52</f>
        <v>0</v>
      </c>
      <c r="GJ52" s="29">
        <f t="shared" si="824"/>
        <v>0</v>
      </c>
      <c r="GK52" s="26">
        <f>(GK50*GQ50+GK51*GQ51)/GQ52</f>
        <v>96.774193548387103</v>
      </c>
      <c r="GL52" s="30">
        <f>(GL50*GQ50+GL51*GQ51)/GQ52</f>
        <v>100</v>
      </c>
      <c r="GM52" s="30">
        <f>(GM50*GQ50+GM51*GQ51)/GQ52</f>
        <v>0</v>
      </c>
      <c r="GN52" s="7">
        <f>(GN50*GQ50+GN51*GQ51)/GQ52</f>
        <v>32.298657407407404</v>
      </c>
      <c r="GO52" s="30">
        <f>SUM(GO50:GO51)</f>
        <v>1440</v>
      </c>
      <c r="GP52" s="88">
        <f>SUM(GP50:GP51)</f>
        <v>9767.1139999999996</v>
      </c>
      <c r="GQ52" s="29">
        <f>SUM(GQ50:GQ51)</f>
        <v>42</v>
      </c>
      <c r="GT52" s="87" t="s">
        <v>39</v>
      </c>
      <c r="GU52" s="29">
        <f>SUM(GU50:GU51)</f>
        <v>1488</v>
      </c>
      <c r="GV52" s="29">
        <f t="shared" ref="GV52:GX52" si="825">SUM(GV50:GV51)</f>
        <v>176.89999999999998</v>
      </c>
      <c r="GW52" s="29">
        <f>SUM(GW50:GW51)</f>
        <v>1311.1</v>
      </c>
      <c r="GX52" s="29">
        <f t="shared" si="825"/>
        <v>0</v>
      </c>
      <c r="GY52" s="30">
        <f>(GY50*HK50+GY51*HK51)/HK52</f>
        <v>0</v>
      </c>
      <c r="GZ52" s="29">
        <f t="shared" ref="GZ52:HD52" si="826">SUM(GZ50:GZ51)</f>
        <v>0</v>
      </c>
      <c r="HA52" s="30">
        <f>(HA50*HK50+HA51*HK51)/HK52</f>
        <v>0</v>
      </c>
      <c r="HB52" s="30">
        <f>SUM(HB50:HB51)</f>
        <v>0</v>
      </c>
      <c r="HC52" s="26">
        <f>(HC50*HK50+HC51*HK51)/HK52</f>
        <v>0</v>
      </c>
      <c r="HD52" s="29">
        <f t="shared" si="826"/>
        <v>0</v>
      </c>
      <c r="HE52" s="26">
        <f>(HE50*HK50+HE51*HK51)/HK52</f>
        <v>100</v>
      </c>
      <c r="HF52" s="30">
        <f>(HF50*HK50+HF51*HK51)/HK52</f>
        <v>100</v>
      </c>
      <c r="HG52" s="30">
        <f>(HG50*HK50+HG51*HK51)/HK52</f>
        <v>0</v>
      </c>
      <c r="HH52" s="7">
        <f>(HH50*HK50+HH51*HK51)/HK52</f>
        <v>10.151049667178698</v>
      </c>
      <c r="HI52" s="30">
        <f>SUM(HI50:HI51)</f>
        <v>1488</v>
      </c>
      <c r="HJ52" s="33">
        <f>SUM(HJ50:HJ51)</f>
        <v>3172</v>
      </c>
      <c r="HK52" s="29">
        <f>SUM(HK50:HK51)</f>
        <v>42</v>
      </c>
      <c r="HN52" s="87" t="s">
        <v>39</v>
      </c>
      <c r="HO52" s="90">
        <f>SUM(HO50:HO51)</f>
        <v>1440</v>
      </c>
      <c r="HP52" s="90">
        <f t="shared" ref="HP52" si="827">SUM(HP50:HP51)</f>
        <v>300</v>
      </c>
      <c r="HQ52" s="90">
        <f>SUM(HQ50:HQ51)</f>
        <v>1140</v>
      </c>
      <c r="HR52" s="90">
        <f t="shared" ref="HR52" si="828">SUM(HR50:HR51)</f>
        <v>0</v>
      </c>
      <c r="HS52" s="26">
        <f>(HS50*IE50+HS51*IE51)/IE52</f>
        <v>0</v>
      </c>
      <c r="HT52" s="29">
        <f>SUM(HT50:HT51)</f>
        <v>0</v>
      </c>
      <c r="HU52" s="26">
        <f>(HU50*IE50+HU51*IE51)/IE52</f>
        <v>0</v>
      </c>
      <c r="HV52" s="29">
        <f>SUM(HV50:HV51)</f>
        <v>0</v>
      </c>
      <c r="HW52" s="26">
        <f>(HW50*IE50+HW51*IE51)/IE52</f>
        <v>0</v>
      </c>
      <c r="HX52" s="29">
        <f>SUM(HX50:HX51)</f>
        <v>0</v>
      </c>
      <c r="HY52" s="30">
        <f>(HY50*IE50+HY51*IE51)/IE52</f>
        <v>100</v>
      </c>
      <c r="HZ52" s="193">
        <f>(HZ50*IE50+HZ51*IE51)/IE52</f>
        <v>100</v>
      </c>
      <c r="IA52" s="193">
        <f>(IA50*IE50+IA51*IE51)/IE52</f>
        <v>0</v>
      </c>
      <c r="IB52" s="193">
        <f>(IB50*IE50+IB51*IE51)/IE52</f>
        <v>17.61904761904762</v>
      </c>
      <c r="IC52" s="30">
        <f>SUM(IC50:IC51)</f>
        <v>1440</v>
      </c>
      <c r="ID52" s="47">
        <f>SUM(ID50:ID51)</f>
        <v>5328</v>
      </c>
      <c r="IE52" s="29">
        <f>SUM(IE50:IE51)</f>
        <v>42</v>
      </c>
      <c r="IF52" s="15"/>
    </row>
    <row r="53" spans="1:240" ht="15" x14ac:dyDescent="0.2">
      <c r="A53" s="74" t="s">
        <v>59</v>
      </c>
      <c r="B53" s="37" t="s">
        <v>60</v>
      </c>
      <c r="C53" s="8">
        <v>744</v>
      </c>
      <c r="D53" s="8">
        <v>21.3</v>
      </c>
      <c r="E53" s="8">
        <v>722.7</v>
      </c>
      <c r="F53" s="8">
        <v>0</v>
      </c>
      <c r="G53" s="6">
        <f t="shared" si="339"/>
        <v>0</v>
      </c>
      <c r="H53" s="8">
        <v>0</v>
      </c>
      <c r="I53" s="6">
        <f t="shared" si="340"/>
        <v>0</v>
      </c>
      <c r="J53" s="6">
        <v>0</v>
      </c>
      <c r="K53" s="6">
        <f t="shared" ref="K53:K55" si="829">(J53/$B$4)*100</f>
        <v>0</v>
      </c>
      <c r="L53" s="8">
        <v>0</v>
      </c>
      <c r="M53" s="6">
        <f>(C53/$B$4)*100</f>
        <v>100</v>
      </c>
      <c r="N53" s="8">
        <f t="shared" si="525"/>
        <v>100</v>
      </c>
      <c r="O53" s="8">
        <f t="shared" si="526"/>
        <v>0</v>
      </c>
      <c r="P53" s="6">
        <f>(R53/($B$4*S53))*100</f>
        <v>1.7771804062126644</v>
      </c>
      <c r="Q53" s="6">
        <f>SUM(D53:F53,H53,J53)</f>
        <v>744</v>
      </c>
      <c r="R53" s="8">
        <v>357</v>
      </c>
      <c r="S53" s="8">
        <v>27</v>
      </c>
      <c r="U53" s="74" t="s">
        <v>59</v>
      </c>
      <c r="V53" s="37" t="s">
        <v>60</v>
      </c>
      <c r="W53" s="41">
        <v>744</v>
      </c>
      <c r="X53" s="41">
        <v>226.1</v>
      </c>
      <c r="Y53" s="41">
        <v>517.9</v>
      </c>
      <c r="Z53" s="8">
        <v>0</v>
      </c>
      <c r="AA53" s="6">
        <f t="shared" ref="AA53:AC63" si="830">(Z53/$V$4)*100</f>
        <v>0</v>
      </c>
      <c r="AB53" s="8">
        <v>0</v>
      </c>
      <c r="AC53" s="6">
        <f t="shared" si="830"/>
        <v>0</v>
      </c>
      <c r="AD53" s="6">
        <v>0</v>
      </c>
      <c r="AE53" s="6">
        <f t="shared" ref="AE53:AE55" si="831">(AD53/$V$4)*100</f>
        <v>0</v>
      </c>
      <c r="AF53" s="8">
        <v>0</v>
      </c>
      <c r="AG53" s="6">
        <f>(W53/$V$4)*100</f>
        <v>100</v>
      </c>
      <c r="AH53" s="6">
        <f t="shared" ref="AH53:AH58" si="832">((W53-AF53)/$V$4)*100</f>
        <v>100</v>
      </c>
      <c r="AI53" s="18">
        <f>IF((AND(X53=0,Z53=0)),0,(Z53+AF53)/(X53+Z53)*100)</f>
        <v>0</v>
      </c>
      <c r="AJ53" s="6">
        <f>(AL53/($V$4*AM53))*100</f>
        <v>29.61469534050179</v>
      </c>
      <c r="AK53" s="6">
        <f>SUM(X53:Z53,AB53,AD53)</f>
        <v>744</v>
      </c>
      <c r="AL53" s="86">
        <v>5949</v>
      </c>
      <c r="AM53" s="8">
        <v>27</v>
      </c>
      <c r="AO53" s="74" t="s">
        <v>59</v>
      </c>
      <c r="AP53" s="37" t="s">
        <v>60</v>
      </c>
      <c r="AQ53" s="8">
        <v>720</v>
      </c>
      <c r="AR53" s="8">
        <v>192.3</v>
      </c>
      <c r="AS53" s="8">
        <v>527.70000000000005</v>
      </c>
      <c r="AT53" s="8">
        <v>0</v>
      </c>
      <c r="AU53" s="6">
        <f t="shared" ref="AU53:AU63" si="833">(AT53/$AP$4)*100</f>
        <v>0</v>
      </c>
      <c r="AV53" s="8">
        <v>0</v>
      </c>
      <c r="AW53" s="6">
        <f t="shared" ref="AW53:AW55" si="834">(AV53/$AP$4)*100</f>
        <v>0</v>
      </c>
      <c r="AX53" s="6">
        <v>0</v>
      </c>
      <c r="AY53" s="6">
        <f>(AX53/$AP$4)*100</f>
        <v>0</v>
      </c>
      <c r="AZ53" s="8">
        <v>0</v>
      </c>
      <c r="BA53" s="6">
        <f>(AQ53/$AP$4)*100</f>
        <v>100</v>
      </c>
      <c r="BB53" s="6">
        <f t="shared" si="456"/>
        <v>100</v>
      </c>
      <c r="BC53" s="15">
        <f t="shared" si="457"/>
        <v>0</v>
      </c>
      <c r="BD53" s="6">
        <f t="shared" ref="BD53:BD55" si="835">(BF53/($AP$4*BG53))*100</f>
        <v>25.720164609053498</v>
      </c>
      <c r="BE53" s="6">
        <f>SUM(AR53:AT53,AV53,AX53)</f>
        <v>720</v>
      </c>
      <c r="BF53" s="86">
        <v>5000</v>
      </c>
      <c r="BG53" s="8">
        <v>27</v>
      </c>
      <c r="BI53" s="74" t="s">
        <v>59</v>
      </c>
      <c r="BJ53" s="37" t="s">
        <v>60</v>
      </c>
      <c r="BK53" s="17">
        <v>744</v>
      </c>
      <c r="BL53" s="17">
        <v>188.1</v>
      </c>
      <c r="BM53" s="17">
        <v>555.9</v>
      </c>
      <c r="BN53" s="8">
        <v>0</v>
      </c>
      <c r="BO53" s="6">
        <f t="shared" ref="BO53:BQ63" si="836">(BN53/$BJ$4)*100</f>
        <v>0</v>
      </c>
      <c r="BP53" s="8">
        <v>0</v>
      </c>
      <c r="BQ53" s="6">
        <f t="shared" si="836"/>
        <v>0</v>
      </c>
      <c r="BR53" s="6">
        <v>0</v>
      </c>
      <c r="BS53" s="6">
        <f>(BR53/$BJ$4)*100</f>
        <v>0</v>
      </c>
      <c r="BT53" s="8">
        <v>0</v>
      </c>
      <c r="BU53" s="6">
        <f t="shared" ref="BU53:BU55" si="837">(BK53/$BJ$4)*100</f>
        <v>100</v>
      </c>
      <c r="BV53" s="6">
        <f>((BK53-BT53)/$BJ$4)*100</f>
        <v>100</v>
      </c>
      <c r="BW53" s="18">
        <f>IF((AND(BL53=0,BN53=0)),0,(BN53+BT53)/(BL53+BN53)*100)</f>
        <v>0</v>
      </c>
      <c r="BX53" s="6">
        <f t="shared" ref="BX53:BX55" si="838">(BZ53/($BJ$4*CA53))*100</f>
        <v>22.466148944643567</v>
      </c>
      <c r="BY53" s="6">
        <f>SUM(BL53:BN53,BP53,BR53)</f>
        <v>744</v>
      </c>
      <c r="BZ53" s="86">
        <v>4513</v>
      </c>
      <c r="CA53" s="8">
        <v>27</v>
      </c>
      <c r="CC53" s="74" t="s">
        <v>59</v>
      </c>
      <c r="CD53" s="37" t="s">
        <v>60</v>
      </c>
      <c r="CE53" s="41">
        <v>720</v>
      </c>
      <c r="CF53" s="41">
        <v>66.72</v>
      </c>
      <c r="CG53" s="41">
        <v>653.28</v>
      </c>
      <c r="CH53" s="41">
        <v>0</v>
      </c>
      <c r="CI53" s="6">
        <f t="shared" ref="CI53:CK63" si="839">(CH53/$CD$4)*100</f>
        <v>0</v>
      </c>
      <c r="CJ53" s="8">
        <v>0</v>
      </c>
      <c r="CK53" s="6">
        <f t="shared" si="839"/>
        <v>0</v>
      </c>
      <c r="CL53" s="6">
        <v>0</v>
      </c>
      <c r="CM53" s="6">
        <f>(CL53/$CD$4)*100</f>
        <v>0</v>
      </c>
      <c r="CN53" s="8">
        <v>0</v>
      </c>
      <c r="CO53" s="6">
        <f>(CE53/$CD$4)*100</f>
        <v>100</v>
      </c>
      <c r="CP53" s="6">
        <f t="shared" ref="CP53:CP63" si="840">((CE53-CN53)/$CD$4)*100</f>
        <v>100</v>
      </c>
      <c r="CQ53" s="18">
        <f>IF((AND(CF53=0,CH53=0)),0,(CH53+CN53)/(CF53+CH53)*100)</f>
        <v>0</v>
      </c>
      <c r="CR53" s="6">
        <f t="shared" ref="CR53:CR55" si="841">(CT53/($CD$4*CU53))*100</f>
        <v>8.4927983539094658</v>
      </c>
      <c r="CS53" s="6">
        <f>SUM(CF53:CH53,CJ53,CL53)</f>
        <v>720</v>
      </c>
      <c r="CT53" s="42">
        <v>1651</v>
      </c>
      <c r="CU53" s="8">
        <v>27</v>
      </c>
      <c r="CW53" s="74" t="s">
        <v>59</v>
      </c>
      <c r="CX53" s="37" t="s">
        <v>60</v>
      </c>
      <c r="CY53" s="8">
        <v>744</v>
      </c>
      <c r="CZ53" s="8">
        <v>100.28</v>
      </c>
      <c r="DA53" s="8">
        <v>643.72</v>
      </c>
      <c r="DB53" s="8">
        <v>0</v>
      </c>
      <c r="DC53" s="6">
        <f t="shared" si="416"/>
        <v>0</v>
      </c>
      <c r="DD53" s="8">
        <v>0</v>
      </c>
      <c r="DE53" s="6">
        <f t="shared" si="417"/>
        <v>0</v>
      </c>
      <c r="DF53" s="6">
        <v>0</v>
      </c>
      <c r="DG53" s="6">
        <f>(DF53/$CX$4)*100</f>
        <v>0</v>
      </c>
      <c r="DH53" s="8">
        <v>0</v>
      </c>
      <c r="DI53" s="6">
        <f>(CY53/$V$4)*100</f>
        <v>100</v>
      </c>
      <c r="DJ53" s="6">
        <f t="shared" si="464"/>
        <v>100</v>
      </c>
      <c r="DK53" s="18">
        <f t="shared" si="465"/>
        <v>0</v>
      </c>
      <c r="DL53" s="6">
        <f t="shared" ref="DL53:DL55" si="842">(DN53/($CX$4*DO53))*100</f>
        <v>12.564715252887297</v>
      </c>
      <c r="DM53" s="6">
        <f>SUM(CZ53:DB53,DD53,DF53)</f>
        <v>744</v>
      </c>
      <c r="DN53" s="85">
        <v>2524</v>
      </c>
      <c r="DO53" s="8">
        <v>27</v>
      </c>
      <c r="DQ53" s="74" t="s">
        <v>59</v>
      </c>
      <c r="DR53" s="37" t="s">
        <v>60</v>
      </c>
      <c r="DS53" s="8">
        <v>378</v>
      </c>
      <c r="DT53" s="8">
        <v>33.5</v>
      </c>
      <c r="DU53" s="8">
        <v>344.5</v>
      </c>
      <c r="DV53" s="8">
        <v>366</v>
      </c>
      <c r="DW53" s="6">
        <f t="shared" si="420"/>
        <v>49.193548387096776</v>
      </c>
      <c r="DX53" s="8">
        <v>0</v>
      </c>
      <c r="DY53" s="6">
        <f t="shared" si="421"/>
        <v>0</v>
      </c>
      <c r="DZ53" s="6">
        <v>0</v>
      </c>
      <c r="EA53" s="6">
        <f>(DZ53/$DR$4)*100</f>
        <v>0</v>
      </c>
      <c r="EB53" s="8">
        <v>0</v>
      </c>
      <c r="EC53" s="6">
        <f>(DS53/$V$4)*100</f>
        <v>50.806451612903224</v>
      </c>
      <c r="ED53" s="6">
        <f t="shared" si="467"/>
        <v>50.806451612903224</v>
      </c>
      <c r="EE53" s="18">
        <f t="shared" si="468"/>
        <v>91.614518147684606</v>
      </c>
      <c r="EF53" s="6">
        <f>(EH53/($DR$4*EI53))*100</f>
        <v>4.3707686180804455</v>
      </c>
      <c r="EG53" s="6">
        <f>SUM(DT53:DV53,DX53,DZ53)</f>
        <v>744</v>
      </c>
      <c r="EH53" s="8">
        <v>878</v>
      </c>
      <c r="EI53" s="8">
        <v>27</v>
      </c>
      <c r="EK53" s="74" t="s">
        <v>59</v>
      </c>
      <c r="EL53" s="37" t="s">
        <v>60</v>
      </c>
      <c r="EM53" s="8">
        <v>624</v>
      </c>
      <c r="EN53" s="8">
        <v>84.6</v>
      </c>
      <c r="EO53" s="8">
        <v>539.4</v>
      </c>
      <c r="EP53" s="8">
        <v>48</v>
      </c>
      <c r="EQ53" s="6">
        <f t="shared" si="424"/>
        <v>7.1428571428571423</v>
      </c>
      <c r="ER53" s="8">
        <v>0</v>
      </c>
      <c r="ES53" s="6">
        <f t="shared" si="425"/>
        <v>0</v>
      </c>
      <c r="ET53" s="6">
        <v>0</v>
      </c>
      <c r="EU53" s="6">
        <f>(ET53/$EL$4)*100</f>
        <v>0</v>
      </c>
      <c r="EV53" s="8">
        <v>0</v>
      </c>
      <c r="EW53" s="6">
        <f>(EM53/$V$4)*100</f>
        <v>83.870967741935488</v>
      </c>
      <c r="EX53" s="6">
        <f t="shared" si="469"/>
        <v>92.857142857142861</v>
      </c>
      <c r="EY53" s="18">
        <f t="shared" si="470"/>
        <v>36.199095022624434</v>
      </c>
      <c r="EZ53" s="6">
        <f t="shared" ref="EZ53:EZ55" si="843">(FB53/($EL$4*FC53))*100</f>
        <v>12.422839506172838</v>
      </c>
      <c r="FA53" s="6">
        <f>SUM(EN53:EP53,ER53,ET53)</f>
        <v>672</v>
      </c>
      <c r="FB53" s="86">
        <v>2254</v>
      </c>
      <c r="FC53" s="8">
        <v>27</v>
      </c>
      <c r="FE53" s="74" t="s">
        <v>59</v>
      </c>
      <c r="FF53" s="37" t="s">
        <v>60</v>
      </c>
      <c r="FG53" s="8">
        <v>744</v>
      </c>
      <c r="FH53" s="8">
        <v>309.89999999999998</v>
      </c>
      <c r="FI53" s="8">
        <v>434.1</v>
      </c>
      <c r="FJ53" s="8">
        <v>0</v>
      </c>
      <c r="FK53" s="6">
        <f t="shared" si="439"/>
        <v>0</v>
      </c>
      <c r="FL53" s="8">
        <v>0</v>
      </c>
      <c r="FM53" s="6">
        <f t="shared" si="440"/>
        <v>0</v>
      </c>
      <c r="FN53" s="6">
        <v>0</v>
      </c>
      <c r="FO53" s="6">
        <f t="shared" ref="FO53:FO55" si="844">(FN53/$FF$4)*100</f>
        <v>0</v>
      </c>
      <c r="FP53" s="8">
        <v>0</v>
      </c>
      <c r="FQ53" s="6">
        <f>(FG53/$V$4)*100</f>
        <v>100</v>
      </c>
      <c r="FR53" s="6">
        <f t="shared" si="473"/>
        <v>100</v>
      </c>
      <c r="FS53" s="18">
        <f t="shared" si="474"/>
        <v>0</v>
      </c>
      <c r="FT53" s="6">
        <f>(FV53/($FF$4*FW53))*100</f>
        <v>42.612504978096375</v>
      </c>
      <c r="FU53" s="6">
        <f>SUM(FH53:FJ53,FL53,FN53)</f>
        <v>744</v>
      </c>
      <c r="FV53" s="86">
        <v>8560</v>
      </c>
      <c r="FW53" s="8">
        <v>27</v>
      </c>
      <c r="FY53" s="74" t="s">
        <v>59</v>
      </c>
      <c r="FZ53" s="37" t="s">
        <v>60</v>
      </c>
      <c r="GA53" s="8">
        <v>696</v>
      </c>
      <c r="GB53" s="8">
        <v>569.4</v>
      </c>
      <c r="GC53" s="8">
        <v>126.6</v>
      </c>
      <c r="GD53" s="8">
        <v>24</v>
      </c>
      <c r="GE53" s="6">
        <f>(GD53/$FZ$4)</f>
        <v>3.3333333333333333E-2</v>
      </c>
      <c r="GF53" s="8">
        <v>0</v>
      </c>
      <c r="GG53" s="6">
        <f t="shared" ref="GG53:GG55" si="845">(GF53/$FZ$4)*100</f>
        <v>0</v>
      </c>
      <c r="GH53" s="6">
        <v>0</v>
      </c>
      <c r="GI53" s="6">
        <f>(GH53/$FZ$4)*100</f>
        <v>0</v>
      </c>
      <c r="GJ53" s="8">
        <v>0</v>
      </c>
      <c r="GK53" s="6">
        <f>(GA53/$V$4)*100</f>
        <v>93.548387096774192</v>
      </c>
      <c r="GL53" s="6">
        <f t="shared" ref="GL53:GL55" si="846">((GA53-GJ53)/$FZ$4)*100</f>
        <v>96.666666666666671</v>
      </c>
      <c r="GM53" s="18">
        <f>IF((AND(GB53=0,GD53=0)),0,(GD53+GJ53)/(GB53+GD53)*100)</f>
        <v>4.0444893832153692</v>
      </c>
      <c r="GN53" s="6">
        <f>(GP53/($FZ$4*GQ53))*100</f>
        <v>82.330246913580254</v>
      </c>
      <c r="GO53" s="6">
        <f>SUM(GB53:GD53,GF53,GH53)</f>
        <v>720</v>
      </c>
      <c r="GP53" s="43">
        <v>16005</v>
      </c>
      <c r="GQ53" s="8">
        <v>27</v>
      </c>
      <c r="GS53" s="74" t="s">
        <v>59</v>
      </c>
      <c r="GT53" s="37" t="s">
        <v>60</v>
      </c>
      <c r="GU53" s="8">
        <v>576</v>
      </c>
      <c r="GV53" s="8">
        <v>185</v>
      </c>
      <c r="GW53" s="8">
        <v>391</v>
      </c>
      <c r="GX53" s="8">
        <v>168</v>
      </c>
      <c r="GY53" s="6">
        <f t="shared" si="559"/>
        <v>22.58064516129032</v>
      </c>
      <c r="GZ53" s="8">
        <v>0</v>
      </c>
      <c r="HA53" s="8">
        <f t="shared" si="560"/>
        <v>0</v>
      </c>
      <c r="HB53" s="8">
        <v>0</v>
      </c>
      <c r="HC53" s="6">
        <f>(HB53/$GT$4)*100</f>
        <v>0</v>
      </c>
      <c r="HD53" s="8">
        <v>0</v>
      </c>
      <c r="HE53" s="6">
        <f>(GU53/$GT$4)*100</f>
        <v>77.41935483870968</v>
      </c>
      <c r="HF53" s="6">
        <f t="shared" si="396"/>
        <v>77.41935483870968</v>
      </c>
      <c r="HG53" s="6">
        <f t="shared" si="397"/>
        <v>47.59206798866856</v>
      </c>
      <c r="HH53" s="6">
        <f t="shared" ref="HH53:HH55" si="847">(HJ53/($GT$4*HK53))*100</f>
        <v>24.636598964555954</v>
      </c>
      <c r="HI53" s="6">
        <f>SUM(GV53:GX53,GZ53,HB53)</f>
        <v>744</v>
      </c>
      <c r="HJ53" s="86">
        <v>4949</v>
      </c>
      <c r="HK53" s="8">
        <v>27</v>
      </c>
      <c r="HM53" s="74" t="s">
        <v>59</v>
      </c>
      <c r="HN53" s="37" t="s">
        <v>60</v>
      </c>
      <c r="HO53" s="8">
        <v>720</v>
      </c>
      <c r="HP53" s="8">
        <v>146.19999999999999</v>
      </c>
      <c r="HQ53" s="8">
        <v>573.79999999999995</v>
      </c>
      <c r="HR53" s="8">
        <v>0</v>
      </c>
      <c r="HS53" s="6">
        <f>(HR53/$HN$4)*100</f>
        <v>0</v>
      </c>
      <c r="HT53" s="8">
        <v>0</v>
      </c>
      <c r="HU53" s="6">
        <f>(HT53/$HN$4)*100</f>
        <v>0</v>
      </c>
      <c r="HV53" s="8">
        <v>0</v>
      </c>
      <c r="HW53" s="6">
        <f>(HV53/$HN$4)*100</f>
        <v>0</v>
      </c>
      <c r="HX53" s="8">
        <v>0</v>
      </c>
      <c r="HY53" s="6">
        <f>(HO53/$HN$4)*100</f>
        <v>100</v>
      </c>
      <c r="HZ53" s="21">
        <f>((HO53-HX53)/$HN$4)*100</f>
        <v>100</v>
      </c>
      <c r="IA53" s="21">
        <f t="shared" ref="IA53:IA55" si="848">IF((AND(HP53=0,HR53=0)),0,(HR53+HX53)/(HP53+HR53)*100)</f>
        <v>0</v>
      </c>
      <c r="IB53" s="6">
        <f>(ID53/($HN$4*IE53))*100</f>
        <v>19.763374485596707</v>
      </c>
      <c r="IC53" s="6">
        <f>SUM(HP53:HR53,HT53,HV53)</f>
        <v>720</v>
      </c>
      <c r="ID53" s="46">
        <v>3842</v>
      </c>
      <c r="IE53" s="8">
        <v>27</v>
      </c>
      <c r="IF53" s="15">
        <v>27</v>
      </c>
    </row>
    <row r="54" spans="1:240" ht="15" x14ac:dyDescent="0.2">
      <c r="A54" s="74" t="s">
        <v>61</v>
      </c>
      <c r="B54" s="37" t="s">
        <v>62</v>
      </c>
      <c r="C54" s="8">
        <v>744</v>
      </c>
      <c r="D54" s="8">
        <v>31.6</v>
      </c>
      <c r="E54" s="8">
        <v>712.4</v>
      </c>
      <c r="F54" s="8">
        <v>0</v>
      </c>
      <c r="G54" s="6">
        <f t="shared" si="339"/>
        <v>0</v>
      </c>
      <c r="H54" s="8">
        <v>0</v>
      </c>
      <c r="I54" s="6">
        <f t="shared" si="340"/>
        <v>0</v>
      </c>
      <c r="J54" s="6">
        <v>0</v>
      </c>
      <c r="K54" s="6">
        <f t="shared" si="829"/>
        <v>0</v>
      </c>
      <c r="L54" s="8">
        <v>0</v>
      </c>
      <c r="M54" s="6">
        <f t="shared" ref="M54" si="849">(C54/$B$4)*100</f>
        <v>100</v>
      </c>
      <c r="N54" s="8">
        <f t="shared" si="525"/>
        <v>100</v>
      </c>
      <c r="O54" s="8">
        <f t="shared" si="526"/>
        <v>0</v>
      </c>
      <c r="P54" s="6">
        <f t="shared" ref="P54:P55" si="850">(R54/($B$4*S54))*100</f>
        <v>3.6688570290720826</v>
      </c>
      <c r="Q54" s="6">
        <f t="shared" ref="Q54:Q55" si="851">SUM(D54:F54,H54,J54)</f>
        <v>744</v>
      </c>
      <c r="R54" s="8">
        <v>737</v>
      </c>
      <c r="S54" s="8">
        <v>27</v>
      </c>
      <c r="U54" s="74" t="s">
        <v>61</v>
      </c>
      <c r="V54" s="37" t="s">
        <v>62</v>
      </c>
      <c r="W54" s="41">
        <v>744</v>
      </c>
      <c r="X54" s="41">
        <v>234.2</v>
      </c>
      <c r="Y54" s="41">
        <v>509.8</v>
      </c>
      <c r="Z54" s="8">
        <v>0</v>
      </c>
      <c r="AA54" s="6">
        <f t="shared" si="830"/>
        <v>0</v>
      </c>
      <c r="AB54" s="8">
        <v>0</v>
      </c>
      <c r="AC54" s="6">
        <f t="shared" si="830"/>
        <v>0</v>
      </c>
      <c r="AD54" s="6">
        <v>0</v>
      </c>
      <c r="AE54" s="6">
        <f t="shared" si="831"/>
        <v>0</v>
      </c>
      <c r="AF54" s="8">
        <v>0</v>
      </c>
      <c r="AG54" s="6">
        <f>(W54/$V$4)*100</f>
        <v>100</v>
      </c>
      <c r="AH54" s="6">
        <f t="shared" si="832"/>
        <v>100</v>
      </c>
      <c r="AI54" s="18">
        <f>IF((AND(X54=0,Z54=0)),0,(Z54+AF54)/(X54+Z54)*100)</f>
        <v>0</v>
      </c>
      <c r="AJ54" s="6">
        <f t="shared" ref="AJ54" si="852">(AL54/($V$4*AM54))*100</f>
        <v>28.952608522500995</v>
      </c>
      <c r="AK54" s="6">
        <f t="shared" ref="AK54:AK55" si="853">SUM(X54:Z54,AB54,AD54)</f>
        <v>744</v>
      </c>
      <c r="AL54" s="86">
        <v>5816</v>
      </c>
      <c r="AM54" s="8">
        <v>27</v>
      </c>
      <c r="AO54" s="74" t="s">
        <v>61</v>
      </c>
      <c r="AP54" s="37" t="s">
        <v>62</v>
      </c>
      <c r="AQ54" s="8">
        <v>720</v>
      </c>
      <c r="AR54" s="8">
        <v>189.6</v>
      </c>
      <c r="AS54" s="8">
        <v>530.4</v>
      </c>
      <c r="AT54" s="8">
        <v>0</v>
      </c>
      <c r="AU54" s="6">
        <f t="shared" si="833"/>
        <v>0</v>
      </c>
      <c r="AV54" s="8">
        <v>0</v>
      </c>
      <c r="AW54" s="6">
        <f t="shared" si="834"/>
        <v>0</v>
      </c>
      <c r="AX54" s="6">
        <v>0</v>
      </c>
      <c r="AY54" s="6">
        <f>(AX54/$AP$4)*100</f>
        <v>0</v>
      </c>
      <c r="AZ54" s="8">
        <v>0</v>
      </c>
      <c r="BA54" s="6">
        <f t="shared" ref="BA54" si="854">(AQ54/$AP$4)*100</f>
        <v>100</v>
      </c>
      <c r="BB54" s="6">
        <f t="shared" si="456"/>
        <v>100</v>
      </c>
      <c r="BC54" s="15">
        <f t="shared" si="457"/>
        <v>0</v>
      </c>
      <c r="BD54" s="6">
        <f t="shared" si="835"/>
        <v>24.994855967078188</v>
      </c>
      <c r="BE54" s="6">
        <f t="shared" ref="BE54:BE55" si="855">SUM(AR54:AT54,AV54,AX54)</f>
        <v>720</v>
      </c>
      <c r="BF54" s="86">
        <v>4859</v>
      </c>
      <c r="BG54" s="8">
        <v>27</v>
      </c>
      <c r="BI54" s="74" t="s">
        <v>61</v>
      </c>
      <c r="BJ54" s="37" t="s">
        <v>62</v>
      </c>
      <c r="BK54" s="17">
        <v>624</v>
      </c>
      <c r="BL54" s="17">
        <v>174.3</v>
      </c>
      <c r="BM54" s="17">
        <v>449.7</v>
      </c>
      <c r="BN54" s="8">
        <v>120</v>
      </c>
      <c r="BO54" s="6">
        <f t="shared" si="836"/>
        <v>16.129032258064516</v>
      </c>
      <c r="BP54" s="8">
        <v>0</v>
      </c>
      <c r="BQ54" s="6">
        <f t="shared" si="836"/>
        <v>0</v>
      </c>
      <c r="BR54" s="6">
        <v>0</v>
      </c>
      <c r="BS54" s="6">
        <f>(BR54/$BJ$4)*100</f>
        <v>0</v>
      </c>
      <c r="BT54" s="8">
        <v>0</v>
      </c>
      <c r="BU54" s="6">
        <f t="shared" si="837"/>
        <v>83.870967741935488</v>
      </c>
      <c r="BV54" s="6">
        <f>((BK54-BT54)/$BJ$4)*100</f>
        <v>83.870967741935488</v>
      </c>
      <c r="BW54" s="18">
        <f>IF((AND(BL54=0,BN54=0)),0,(BN54+BT54)/(BL54+BN54)*100)</f>
        <v>40.774719673802238</v>
      </c>
      <c r="BX54" s="6">
        <f t="shared" si="838"/>
        <v>22.62046993229789</v>
      </c>
      <c r="BY54" s="6">
        <f t="shared" ref="BY54:BY55" si="856">SUM(BL54:BN54,BP54,BR54)</f>
        <v>744</v>
      </c>
      <c r="BZ54" s="86">
        <v>4544</v>
      </c>
      <c r="CA54" s="8">
        <v>27</v>
      </c>
      <c r="CC54" s="74" t="s">
        <v>61</v>
      </c>
      <c r="CD54" s="37" t="s">
        <v>62</v>
      </c>
      <c r="CE54" s="17">
        <v>718</v>
      </c>
      <c r="CF54" s="17">
        <v>65.430000000000007</v>
      </c>
      <c r="CG54" s="17">
        <v>652.57000000000005</v>
      </c>
      <c r="CH54" s="17">
        <v>2</v>
      </c>
      <c r="CI54" s="6">
        <f t="shared" si="839"/>
        <v>0.27777777777777779</v>
      </c>
      <c r="CJ54" s="8">
        <v>0</v>
      </c>
      <c r="CK54" s="6">
        <f t="shared" si="839"/>
        <v>0</v>
      </c>
      <c r="CL54" s="6">
        <v>0</v>
      </c>
      <c r="CM54" s="6">
        <f t="shared" ref="CM54" si="857">(CL54/$CD$4)*100</f>
        <v>0</v>
      </c>
      <c r="CN54" s="8">
        <v>0</v>
      </c>
      <c r="CO54" s="6">
        <f>(CE54/$CD$4)*100</f>
        <v>99.722222222222229</v>
      </c>
      <c r="CP54" s="6">
        <f t="shared" si="840"/>
        <v>99.722222222222229</v>
      </c>
      <c r="CQ54" s="18">
        <f t="shared" ref="CQ54" si="858">IF((AND(CF54=0,CH54=0)),0,(CH54+CN54)/(CF54+CH54)*100)</f>
        <v>2.9660388551090016</v>
      </c>
      <c r="CR54" s="6">
        <f t="shared" si="841"/>
        <v>8.1018518518518512</v>
      </c>
      <c r="CS54" s="6">
        <f t="shared" ref="CS54:CS55" si="859">SUM(CF54:CH54,CJ54,CL54)</f>
        <v>720</v>
      </c>
      <c r="CT54" s="42">
        <v>1575</v>
      </c>
      <c r="CU54" s="8">
        <v>27</v>
      </c>
      <c r="CW54" s="74" t="s">
        <v>61</v>
      </c>
      <c r="CX54" s="37" t="s">
        <v>62</v>
      </c>
      <c r="CY54" s="8">
        <v>732</v>
      </c>
      <c r="CZ54" s="8">
        <v>101.07</v>
      </c>
      <c r="DA54" s="8">
        <v>630.92999999999995</v>
      </c>
      <c r="DB54" s="8">
        <v>12</v>
      </c>
      <c r="DC54" s="6">
        <f t="shared" si="416"/>
        <v>1.6129032258064515</v>
      </c>
      <c r="DD54" s="8">
        <v>0</v>
      </c>
      <c r="DE54" s="6">
        <f t="shared" si="417"/>
        <v>0</v>
      </c>
      <c r="DF54" s="6">
        <v>0</v>
      </c>
      <c r="DG54" s="6">
        <f t="shared" ref="DG54" si="860">(DF54/$CX$4)*100</f>
        <v>0</v>
      </c>
      <c r="DH54" s="8">
        <v>0</v>
      </c>
      <c r="DI54" s="6">
        <f>(CY54/$V$4)*100</f>
        <v>98.387096774193552</v>
      </c>
      <c r="DJ54" s="6">
        <f t="shared" si="464"/>
        <v>98.387096774193552</v>
      </c>
      <c r="DK54" s="18">
        <f t="shared" si="465"/>
        <v>10.612894667020431</v>
      </c>
      <c r="DL54" s="6">
        <f>(DN54/($CX$4*DO54))*100</f>
        <v>12.987853444842692</v>
      </c>
      <c r="DM54" s="6">
        <f t="shared" ref="DM54:DM55" si="861">SUM(CZ54:DB54,DD54,DF54)</f>
        <v>744</v>
      </c>
      <c r="DN54" s="85">
        <v>2609</v>
      </c>
      <c r="DO54" s="8">
        <v>27</v>
      </c>
      <c r="DQ54" s="74" t="s">
        <v>61</v>
      </c>
      <c r="DR54" s="37" t="s">
        <v>62</v>
      </c>
      <c r="DS54" s="8">
        <v>744</v>
      </c>
      <c r="DT54" s="8">
        <v>136.6</v>
      </c>
      <c r="DU54" s="8">
        <v>607.4</v>
      </c>
      <c r="DV54" s="8">
        <v>0</v>
      </c>
      <c r="DW54" s="6">
        <f t="shared" si="420"/>
        <v>0</v>
      </c>
      <c r="DX54" s="8">
        <v>0</v>
      </c>
      <c r="DY54" s="6">
        <f t="shared" si="421"/>
        <v>0</v>
      </c>
      <c r="DZ54" s="6">
        <v>0</v>
      </c>
      <c r="EA54" s="6">
        <f>(DZ54/$DR$4)*100</f>
        <v>0</v>
      </c>
      <c r="EB54" s="8">
        <v>0</v>
      </c>
      <c r="EC54" s="6">
        <f>(DS54/$V$4)*100</f>
        <v>100</v>
      </c>
      <c r="ED54" s="6">
        <f t="shared" si="467"/>
        <v>100</v>
      </c>
      <c r="EE54" s="18">
        <f t="shared" si="468"/>
        <v>0</v>
      </c>
      <c r="EF54" s="6">
        <f t="shared" ref="EF54:EF55" si="862">(EH54/($DR$4*EI54))*100</f>
        <v>18.17005177220231</v>
      </c>
      <c r="EG54" s="6">
        <f t="shared" ref="EG54:EG55" si="863">SUM(DT54:DV54,DX54,DZ54)</f>
        <v>744</v>
      </c>
      <c r="EH54" s="86">
        <v>3650</v>
      </c>
      <c r="EI54" s="8">
        <v>27</v>
      </c>
      <c r="EK54" s="74" t="s">
        <v>61</v>
      </c>
      <c r="EL54" s="37" t="s">
        <v>62</v>
      </c>
      <c r="EM54" s="8">
        <v>672</v>
      </c>
      <c r="EN54" s="8">
        <v>120.2</v>
      </c>
      <c r="EO54" s="8">
        <v>551.79999999999995</v>
      </c>
      <c r="EP54" s="8">
        <v>0</v>
      </c>
      <c r="EQ54" s="6">
        <f t="shared" si="424"/>
        <v>0</v>
      </c>
      <c r="ER54" s="8">
        <v>0</v>
      </c>
      <c r="ES54" s="6">
        <f t="shared" si="425"/>
        <v>0</v>
      </c>
      <c r="ET54" s="6">
        <v>0</v>
      </c>
      <c r="EU54" s="6">
        <f>(ET54/$EL$4)*100</f>
        <v>0</v>
      </c>
      <c r="EV54" s="8">
        <v>0</v>
      </c>
      <c r="EW54" s="6">
        <f>(EM54/$V$4)*100</f>
        <v>90.322580645161281</v>
      </c>
      <c r="EX54" s="6">
        <f t="shared" si="469"/>
        <v>100</v>
      </c>
      <c r="EY54" s="18">
        <f t="shared" si="470"/>
        <v>0</v>
      </c>
      <c r="EZ54" s="6">
        <f t="shared" si="843"/>
        <v>18.149250440917108</v>
      </c>
      <c r="FA54" s="6">
        <f t="shared" ref="FA54:FA55" si="864">SUM(EN54:EP54,ER54,ET54)</f>
        <v>672</v>
      </c>
      <c r="FB54" s="86">
        <v>3293</v>
      </c>
      <c r="FC54" s="8">
        <v>27</v>
      </c>
      <c r="FE54" s="74" t="s">
        <v>61</v>
      </c>
      <c r="FF54" s="37" t="s">
        <v>62</v>
      </c>
      <c r="FG54" s="8">
        <v>744</v>
      </c>
      <c r="FH54" s="8">
        <v>319.89999999999998</v>
      </c>
      <c r="FI54" s="8">
        <v>424.1</v>
      </c>
      <c r="FJ54" s="8">
        <v>0</v>
      </c>
      <c r="FK54" s="6">
        <f t="shared" si="439"/>
        <v>0</v>
      </c>
      <c r="FL54" s="8">
        <v>0</v>
      </c>
      <c r="FM54" s="6">
        <f t="shared" si="440"/>
        <v>0</v>
      </c>
      <c r="FN54" s="6">
        <v>0</v>
      </c>
      <c r="FO54" s="6">
        <f t="shared" si="844"/>
        <v>0</v>
      </c>
      <c r="FP54" s="8">
        <v>0</v>
      </c>
      <c r="FQ54" s="6">
        <f>(FG54/$V$4)*100</f>
        <v>100</v>
      </c>
      <c r="FR54" s="6">
        <f t="shared" si="473"/>
        <v>100</v>
      </c>
      <c r="FS54" s="18">
        <f t="shared" si="474"/>
        <v>0</v>
      </c>
      <c r="FT54" s="6">
        <f t="shared" ref="FT54" si="865">(FV54/($FF$4*FW54))*100</f>
        <v>43.453803265631223</v>
      </c>
      <c r="FU54" s="6">
        <f t="shared" ref="FU54:FU55" si="866">SUM(FH54:FJ54,FL54,FN54)</f>
        <v>744</v>
      </c>
      <c r="FV54" s="86">
        <v>8729</v>
      </c>
      <c r="FW54" s="8">
        <v>27</v>
      </c>
      <c r="FY54" s="74" t="s">
        <v>61</v>
      </c>
      <c r="FZ54" s="37" t="s">
        <v>62</v>
      </c>
      <c r="GA54" s="8">
        <v>552</v>
      </c>
      <c r="GB54" s="8">
        <v>300.89999999999998</v>
      </c>
      <c r="GC54" s="8">
        <v>251.1</v>
      </c>
      <c r="GD54" s="8">
        <v>168</v>
      </c>
      <c r="GE54" s="6">
        <f t="shared" ref="GE54:GE55" si="867">(GD54/$FZ$4)</f>
        <v>0.23333333333333334</v>
      </c>
      <c r="GF54" s="8">
        <v>0</v>
      </c>
      <c r="GG54" s="6">
        <f t="shared" si="845"/>
        <v>0</v>
      </c>
      <c r="GH54" s="6">
        <v>0</v>
      </c>
      <c r="GI54" s="6">
        <f t="shared" ref="GI54" si="868">(GH54/$FZ$4)*100</f>
        <v>0</v>
      </c>
      <c r="GJ54" s="8">
        <v>0</v>
      </c>
      <c r="GK54" s="6">
        <f>(GA54/$V$4)*100</f>
        <v>74.193548387096769</v>
      </c>
      <c r="GL54" s="6">
        <f t="shared" si="846"/>
        <v>76.666666666666671</v>
      </c>
      <c r="GM54" s="18">
        <f t="shared" ref="GM54" si="869">IF((AND(GB54=0,GD54=0)),0,(GD54+GJ54)/(GB54+GD54)*100)</f>
        <v>35.82853486884197</v>
      </c>
      <c r="GN54" s="6">
        <f>(GP54/($FZ$4*GQ54))*100</f>
        <v>42.407407407407405</v>
      </c>
      <c r="GO54" s="6">
        <f t="shared" ref="GO54:GO55" si="870">SUM(GB54:GD54,GF54,GH54)</f>
        <v>720</v>
      </c>
      <c r="GP54" s="43">
        <v>8244</v>
      </c>
      <c r="GQ54" s="8">
        <v>27</v>
      </c>
      <c r="GS54" s="74" t="s">
        <v>61</v>
      </c>
      <c r="GT54" s="37" t="s">
        <v>62</v>
      </c>
      <c r="GU54" s="8">
        <v>48</v>
      </c>
      <c r="GV54" s="8">
        <v>10.1</v>
      </c>
      <c r="GW54" s="8">
        <v>37.9</v>
      </c>
      <c r="GX54" s="8">
        <v>696</v>
      </c>
      <c r="GY54" s="6">
        <f t="shared" si="559"/>
        <v>93.548387096774192</v>
      </c>
      <c r="GZ54" s="8">
        <v>0</v>
      </c>
      <c r="HA54" s="8">
        <f t="shared" si="560"/>
        <v>0</v>
      </c>
      <c r="HB54" s="8">
        <v>0</v>
      </c>
      <c r="HC54" s="6">
        <f>(HB54/$GT$4)*100</f>
        <v>0</v>
      </c>
      <c r="HD54" s="8">
        <v>0</v>
      </c>
      <c r="HE54" s="6">
        <f t="shared" ref="HE54:HE55" si="871">(GU54/$GT$4)*100</f>
        <v>6.4516129032258061</v>
      </c>
      <c r="HF54" s="6">
        <f t="shared" si="396"/>
        <v>6.4516129032258061</v>
      </c>
      <c r="HG54" s="6">
        <f t="shared" si="397"/>
        <v>98.569607704291172</v>
      </c>
      <c r="HH54" s="6">
        <f t="shared" si="847"/>
        <v>1.3291517323775388</v>
      </c>
      <c r="HI54" s="6">
        <f t="shared" ref="HI54:HI55" si="872">SUM(GV54:GX54,GZ54,HB54)</f>
        <v>744</v>
      </c>
      <c r="HJ54" s="8">
        <v>267</v>
      </c>
      <c r="HK54" s="8">
        <v>27</v>
      </c>
      <c r="HM54" s="74" t="s">
        <v>61</v>
      </c>
      <c r="HN54" s="37" t="s">
        <v>62</v>
      </c>
      <c r="HO54" s="8">
        <v>720</v>
      </c>
      <c r="HP54" s="8">
        <v>127.4</v>
      </c>
      <c r="HQ54" s="8">
        <v>592.6</v>
      </c>
      <c r="HR54" s="8">
        <v>0</v>
      </c>
      <c r="HS54" s="6">
        <f t="shared" ref="HS54" si="873">(HR54/$HN$4)*100</f>
        <v>0</v>
      </c>
      <c r="HT54" s="8">
        <v>0</v>
      </c>
      <c r="HU54" s="6">
        <f t="shared" ref="HU54" si="874">(HT54/$HN$4)*100</f>
        <v>0</v>
      </c>
      <c r="HV54" s="8">
        <v>0</v>
      </c>
      <c r="HW54" s="6">
        <f t="shared" ref="HW54" si="875">(HV54/$HN$4)*100</f>
        <v>0</v>
      </c>
      <c r="HX54" s="8">
        <v>0</v>
      </c>
      <c r="HY54" s="6">
        <f>(HO54/$HN$4)*100</f>
        <v>100</v>
      </c>
      <c r="HZ54" s="21">
        <f>((HO54-HX54)/$HN$4)*100</f>
        <v>100</v>
      </c>
      <c r="IA54" s="6">
        <f t="shared" si="848"/>
        <v>0</v>
      </c>
      <c r="IB54" s="6">
        <f>(ID54/($HN$4*IE54))*100</f>
        <v>17.217078189300413</v>
      </c>
      <c r="IC54" s="6">
        <f t="shared" ref="IC54:IC55" si="876">SUM(HP54:HR54,HT54,HV54)</f>
        <v>720</v>
      </c>
      <c r="ID54" s="46">
        <v>3347</v>
      </c>
      <c r="IE54" s="8">
        <v>27</v>
      </c>
      <c r="IF54" s="15">
        <v>27</v>
      </c>
    </row>
    <row r="55" spans="1:240" ht="14.25" x14ac:dyDescent="0.2">
      <c r="B55" s="37" t="s">
        <v>63</v>
      </c>
      <c r="C55" s="8">
        <v>744</v>
      </c>
      <c r="D55" s="8">
        <v>25.2</v>
      </c>
      <c r="E55" s="8">
        <v>718.8</v>
      </c>
      <c r="F55" s="8">
        <v>0</v>
      </c>
      <c r="G55" s="6">
        <f t="shared" si="339"/>
        <v>0</v>
      </c>
      <c r="H55" s="8">
        <v>0</v>
      </c>
      <c r="I55" s="6">
        <f t="shared" si="340"/>
        <v>0</v>
      </c>
      <c r="J55" s="6">
        <v>0</v>
      </c>
      <c r="K55" s="6">
        <f t="shared" si="829"/>
        <v>0</v>
      </c>
      <c r="L55" s="8">
        <v>0</v>
      </c>
      <c r="M55" s="6">
        <f>(C55/$B$4)*100</f>
        <v>100</v>
      </c>
      <c r="N55" s="8">
        <f t="shared" si="525"/>
        <v>100</v>
      </c>
      <c r="O55" s="8">
        <f t="shared" si="526"/>
        <v>0</v>
      </c>
      <c r="P55" s="6">
        <f t="shared" si="850"/>
        <v>2.6334129828753485</v>
      </c>
      <c r="Q55" s="6">
        <f t="shared" si="851"/>
        <v>744</v>
      </c>
      <c r="R55" s="8">
        <v>529</v>
      </c>
      <c r="S55" s="8">
        <v>27</v>
      </c>
      <c r="V55" s="37" t="s">
        <v>63</v>
      </c>
      <c r="W55" s="41">
        <v>744</v>
      </c>
      <c r="X55" s="41">
        <v>217.9</v>
      </c>
      <c r="Y55" s="41">
        <v>526.1</v>
      </c>
      <c r="Z55" s="8">
        <v>0</v>
      </c>
      <c r="AA55" s="6">
        <f t="shared" si="830"/>
        <v>0</v>
      </c>
      <c r="AB55" s="8">
        <v>0</v>
      </c>
      <c r="AC55" s="6">
        <f t="shared" si="830"/>
        <v>0</v>
      </c>
      <c r="AD55" s="6">
        <v>0</v>
      </c>
      <c r="AE55" s="6">
        <f t="shared" si="831"/>
        <v>0</v>
      </c>
      <c r="AF55" s="8">
        <v>0</v>
      </c>
      <c r="AG55" s="6">
        <f>(W55/$V$4)*100</f>
        <v>100</v>
      </c>
      <c r="AH55" s="6">
        <f t="shared" si="832"/>
        <v>100</v>
      </c>
      <c r="AI55" s="18">
        <f>IF((AND(X55=0,Z55=0)),0,(Z55+AF55)/(X55+Z55)*100)</f>
        <v>0</v>
      </c>
      <c r="AJ55" s="6">
        <f>(AL55/($V$4*AM55))*100</f>
        <v>21.704500199123856</v>
      </c>
      <c r="AK55" s="6">
        <f t="shared" si="853"/>
        <v>744</v>
      </c>
      <c r="AL55" s="86">
        <v>4360</v>
      </c>
      <c r="AM55" s="8">
        <v>27</v>
      </c>
      <c r="AP55" s="37" t="s">
        <v>63</v>
      </c>
      <c r="AQ55" s="8">
        <v>704</v>
      </c>
      <c r="AR55" s="8">
        <v>136.19999999999999</v>
      </c>
      <c r="AS55" s="8">
        <v>567.79999999999995</v>
      </c>
      <c r="AT55" s="8">
        <v>16</v>
      </c>
      <c r="AU55" s="6">
        <f t="shared" si="833"/>
        <v>2.2222222222222223</v>
      </c>
      <c r="AV55" s="8">
        <v>0</v>
      </c>
      <c r="AW55" s="6">
        <f t="shared" si="834"/>
        <v>0</v>
      </c>
      <c r="AX55" s="6">
        <v>0</v>
      </c>
      <c r="AY55" s="6">
        <f>(AX55/$AP$4)*100</f>
        <v>0</v>
      </c>
      <c r="AZ55" s="8">
        <v>0</v>
      </c>
      <c r="BA55" s="6">
        <f>(AQ55/$AP$4)*100</f>
        <v>97.777777777777771</v>
      </c>
      <c r="BB55" s="6">
        <f t="shared" si="456"/>
        <v>97.777777777777771</v>
      </c>
      <c r="BC55" s="15">
        <f t="shared" si="457"/>
        <v>10.512483574244417</v>
      </c>
      <c r="BD55" s="6">
        <f t="shared" si="835"/>
        <v>16.491769547325102</v>
      </c>
      <c r="BE55" s="6">
        <f t="shared" si="855"/>
        <v>720</v>
      </c>
      <c r="BF55" s="86">
        <v>3206</v>
      </c>
      <c r="BG55" s="8">
        <v>27</v>
      </c>
      <c r="BJ55" s="37" t="s">
        <v>63</v>
      </c>
      <c r="BK55" s="17">
        <v>744</v>
      </c>
      <c r="BL55" s="17">
        <v>189.3</v>
      </c>
      <c r="BM55" s="17">
        <v>554.70000000000005</v>
      </c>
      <c r="BN55" s="8">
        <v>0</v>
      </c>
      <c r="BO55" s="6">
        <f t="shared" si="836"/>
        <v>0</v>
      </c>
      <c r="BP55" s="8">
        <v>0</v>
      </c>
      <c r="BQ55" s="6">
        <f t="shared" si="836"/>
        <v>0</v>
      </c>
      <c r="BR55" s="6">
        <v>0</v>
      </c>
      <c r="BS55" s="6">
        <f>(BR55/$BJ$4)*100</f>
        <v>0</v>
      </c>
      <c r="BT55" s="8">
        <v>0</v>
      </c>
      <c r="BU55" s="6">
        <f t="shared" si="837"/>
        <v>100</v>
      </c>
      <c r="BV55" s="6">
        <f>((BK55-BT55)/$BJ$4)*100</f>
        <v>100</v>
      </c>
      <c r="BW55" s="18">
        <f>IF((AND(BL55=0,BN55=0)),0,(BN55+BT55)/(BL55+BN55)*100)</f>
        <v>0</v>
      </c>
      <c r="BX55" s="6">
        <f t="shared" si="838"/>
        <v>22.914177618478693</v>
      </c>
      <c r="BY55" s="6">
        <f t="shared" si="856"/>
        <v>744</v>
      </c>
      <c r="BZ55" s="86">
        <v>4603</v>
      </c>
      <c r="CA55" s="8">
        <v>27</v>
      </c>
      <c r="CD55" s="37" t="s">
        <v>63</v>
      </c>
      <c r="CE55" s="41">
        <v>720</v>
      </c>
      <c r="CF55" s="41">
        <v>65.930000000000007</v>
      </c>
      <c r="CG55" s="41">
        <v>654.07000000000005</v>
      </c>
      <c r="CH55" s="41">
        <v>0</v>
      </c>
      <c r="CI55" s="6">
        <f t="shared" si="839"/>
        <v>0</v>
      </c>
      <c r="CJ55" s="8">
        <v>0</v>
      </c>
      <c r="CK55" s="6">
        <f t="shared" si="839"/>
        <v>0</v>
      </c>
      <c r="CL55" s="6">
        <v>0</v>
      </c>
      <c r="CM55" s="6">
        <f>(CL55/$CD$4)*100</f>
        <v>0</v>
      </c>
      <c r="CN55" s="8">
        <v>0</v>
      </c>
      <c r="CO55" s="6">
        <f>(CE55/$CD$4)*100</f>
        <v>100</v>
      </c>
      <c r="CP55" s="6">
        <f t="shared" si="840"/>
        <v>100</v>
      </c>
      <c r="CQ55" s="18">
        <f>IF((AND(CF55=0,CH55=0)),0,(CH55+CN55)/(CF55+CH55)*100)</f>
        <v>0</v>
      </c>
      <c r="CR55" s="6">
        <f t="shared" si="841"/>
        <v>8.2150205761316872</v>
      </c>
      <c r="CS55" s="6">
        <f t="shared" si="859"/>
        <v>720</v>
      </c>
      <c r="CT55" s="42">
        <v>1597</v>
      </c>
      <c r="CU55" s="8">
        <v>27</v>
      </c>
      <c r="CX55" s="37" t="s">
        <v>63</v>
      </c>
      <c r="CY55" s="8">
        <v>742</v>
      </c>
      <c r="CZ55" s="8">
        <v>108.37</v>
      </c>
      <c r="DA55" s="8">
        <v>633.63</v>
      </c>
      <c r="DB55" s="8">
        <v>2</v>
      </c>
      <c r="DC55" s="6">
        <f t="shared" si="416"/>
        <v>0.26881720430107531</v>
      </c>
      <c r="DD55" s="8">
        <v>0</v>
      </c>
      <c r="DE55" s="6">
        <f t="shared" si="417"/>
        <v>0</v>
      </c>
      <c r="DF55" s="6">
        <v>0</v>
      </c>
      <c r="DG55" s="6">
        <f>(DF55/$CX$4)*100</f>
        <v>0</v>
      </c>
      <c r="DH55" s="8">
        <v>0</v>
      </c>
      <c r="DI55" s="6">
        <f>(CY55/$V$4)*100</f>
        <v>99.731182795698928</v>
      </c>
      <c r="DJ55" s="6">
        <f t="shared" si="464"/>
        <v>99.731182795698928</v>
      </c>
      <c r="DK55" s="18">
        <f t="shared" si="465"/>
        <v>1.8120866177403279</v>
      </c>
      <c r="DL55" s="6">
        <f t="shared" si="842"/>
        <v>13.102349661489447</v>
      </c>
      <c r="DM55" s="6">
        <f t="shared" si="861"/>
        <v>744</v>
      </c>
      <c r="DN55" s="85">
        <v>2632</v>
      </c>
      <c r="DO55" s="8">
        <v>27</v>
      </c>
      <c r="DR55" s="37" t="s">
        <v>63</v>
      </c>
      <c r="DS55" s="8">
        <v>732</v>
      </c>
      <c r="DT55" s="8">
        <v>118.9</v>
      </c>
      <c r="DU55" s="8">
        <v>613.1</v>
      </c>
      <c r="DV55" s="8">
        <v>12</v>
      </c>
      <c r="DW55" s="6">
        <f t="shared" si="420"/>
        <v>1.6129032258064515</v>
      </c>
      <c r="DX55" s="8">
        <v>0</v>
      </c>
      <c r="DY55" s="6">
        <f t="shared" si="421"/>
        <v>0</v>
      </c>
      <c r="DZ55" s="6">
        <v>0</v>
      </c>
      <c r="EA55" s="6">
        <f>(DZ55/$DR$4)*100</f>
        <v>0</v>
      </c>
      <c r="EB55" s="8">
        <v>0</v>
      </c>
      <c r="EC55" s="6">
        <f>(DS55/$V$4)*100</f>
        <v>98.387096774193552</v>
      </c>
      <c r="ED55" s="6">
        <f t="shared" si="467"/>
        <v>98.387096774193552</v>
      </c>
      <c r="EE55" s="18">
        <f t="shared" si="468"/>
        <v>9.1673032849503429</v>
      </c>
      <c r="EF55" s="6">
        <f t="shared" si="862"/>
        <v>11.544205495818399</v>
      </c>
      <c r="EG55" s="6">
        <f t="shared" si="863"/>
        <v>744</v>
      </c>
      <c r="EH55" s="86">
        <v>2319</v>
      </c>
      <c r="EI55" s="8">
        <v>27</v>
      </c>
      <c r="EL55" s="37" t="s">
        <v>63</v>
      </c>
      <c r="EM55" s="8">
        <v>672</v>
      </c>
      <c r="EN55" s="8">
        <v>113.3</v>
      </c>
      <c r="EO55" s="8">
        <v>558.70000000000005</v>
      </c>
      <c r="EP55" s="8">
        <v>0</v>
      </c>
      <c r="EQ55" s="6">
        <f t="shared" si="424"/>
        <v>0</v>
      </c>
      <c r="ER55" s="8">
        <v>0</v>
      </c>
      <c r="ES55" s="6">
        <f t="shared" si="425"/>
        <v>0</v>
      </c>
      <c r="ET55" s="6">
        <v>0</v>
      </c>
      <c r="EU55" s="6">
        <f>(ET55/$EL$4)*100</f>
        <v>0</v>
      </c>
      <c r="EV55" s="8">
        <v>0</v>
      </c>
      <c r="EW55" s="6">
        <f>(EM55/$V$4)*100</f>
        <v>90.322580645161281</v>
      </c>
      <c r="EX55" s="6">
        <f t="shared" si="469"/>
        <v>100</v>
      </c>
      <c r="EY55" s="18">
        <f t="shared" si="470"/>
        <v>0</v>
      </c>
      <c r="EZ55" s="6">
        <f t="shared" si="843"/>
        <v>14.236111111111111</v>
      </c>
      <c r="FA55" s="6">
        <f t="shared" si="864"/>
        <v>672</v>
      </c>
      <c r="FB55" s="86">
        <v>2583</v>
      </c>
      <c r="FC55" s="8">
        <v>27</v>
      </c>
      <c r="FF55" s="37" t="s">
        <v>63</v>
      </c>
      <c r="FG55" s="8">
        <v>744</v>
      </c>
      <c r="FH55" s="8">
        <v>309.8</v>
      </c>
      <c r="FI55" s="8">
        <v>434.2</v>
      </c>
      <c r="FJ55" s="8">
        <v>0</v>
      </c>
      <c r="FK55" s="6">
        <f t="shared" si="439"/>
        <v>0</v>
      </c>
      <c r="FL55" s="8">
        <v>0</v>
      </c>
      <c r="FM55" s="6">
        <f t="shared" si="440"/>
        <v>0</v>
      </c>
      <c r="FN55" s="6">
        <v>0</v>
      </c>
      <c r="FO55" s="6">
        <f t="shared" si="844"/>
        <v>0</v>
      </c>
      <c r="FP55" s="8">
        <v>0</v>
      </c>
      <c r="FQ55" s="6">
        <f>(FG55/$V$4)*100</f>
        <v>100</v>
      </c>
      <c r="FR55" s="6">
        <f t="shared" si="473"/>
        <v>100</v>
      </c>
      <c r="FS55" s="18">
        <f t="shared" si="474"/>
        <v>0</v>
      </c>
      <c r="FT55" s="6">
        <f>(FV55/($FF$4*FW55))*100</f>
        <v>39.222421346077255</v>
      </c>
      <c r="FU55" s="6">
        <f t="shared" si="866"/>
        <v>744</v>
      </c>
      <c r="FV55" s="86">
        <v>7879</v>
      </c>
      <c r="FW55" s="8">
        <v>27</v>
      </c>
      <c r="FZ55" s="37" t="s">
        <v>63</v>
      </c>
      <c r="GA55" s="8">
        <v>702</v>
      </c>
      <c r="GB55" s="8">
        <v>531.29999999999995</v>
      </c>
      <c r="GC55" s="8">
        <v>170.7</v>
      </c>
      <c r="GD55" s="8">
        <v>18</v>
      </c>
      <c r="GE55" s="6">
        <f t="shared" si="867"/>
        <v>2.5000000000000001E-2</v>
      </c>
      <c r="GF55" s="8">
        <v>0</v>
      </c>
      <c r="GG55" s="6">
        <f t="shared" si="845"/>
        <v>0</v>
      </c>
      <c r="GH55" s="6">
        <v>0</v>
      </c>
      <c r="GI55" s="6">
        <f>(GH55/$FZ$4)*100</f>
        <v>0</v>
      </c>
      <c r="GJ55" s="8">
        <v>0</v>
      </c>
      <c r="GK55" s="6">
        <f>(GA55/$V$4)*100</f>
        <v>94.354838709677423</v>
      </c>
      <c r="GL55" s="6">
        <f t="shared" si="846"/>
        <v>97.5</v>
      </c>
      <c r="GM55" s="18">
        <f>IF((AND(GB55=0,GD55=0)),0,(GD55+GJ55)/(GB55+GD55)*100)</f>
        <v>3.2768978700163847</v>
      </c>
      <c r="GN55" s="6">
        <f>(GP55/($FZ$4*GQ55))*100</f>
        <v>61.682098765432102</v>
      </c>
      <c r="GO55" s="6">
        <f t="shared" si="870"/>
        <v>720</v>
      </c>
      <c r="GP55" s="43">
        <v>11991</v>
      </c>
      <c r="GQ55" s="8">
        <v>27</v>
      </c>
      <c r="GT55" s="37" t="s">
        <v>63</v>
      </c>
      <c r="GU55" s="8">
        <v>576</v>
      </c>
      <c r="GV55" s="8">
        <v>180.5</v>
      </c>
      <c r="GW55" s="8">
        <v>395.5</v>
      </c>
      <c r="GX55" s="8">
        <v>168</v>
      </c>
      <c r="GY55" s="6">
        <f t="shared" si="559"/>
        <v>22.58064516129032</v>
      </c>
      <c r="GZ55" s="8">
        <v>0</v>
      </c>
      <c r="HA55" s="8">
        <f t="shared" si="560"/>
        <v>0</v>
      </c>
      <c r="HB55" s="8">
        <v>0</v>
      </c>
      <c r="HC55" s="6">
        <f t="shared" ref="HC55" si="877">(HB55/$GT$4)*100</f>
        <v>0</v>
      </c>
      <c r="HD55" s="8">
        <v>0</v>
      </c>
      <c r="HE55" s="6">
        <f t="shared" si="871"/>
        <v>77.41935483870968</v>
      </c>
      <c r="HF55" s="6">
        <f t="shared" si="396"/>
        <v>77.41935483870968</v>
      </c>
      <c r="HG55" s="6">
        <f t="shared" si="397"/>
        <v>48.206599713055951</v>
      </c>
      <c r="HH55" s="6">
        <f t="shared" si="847"/>
        <v>18.010752688172044</v>
      </c>
      <c r="HI55" s="6">
        <f t="shared" si="872"/>
        <v>744</v>
      </c>
      <c r="HJ55" s="86">
        <v>3618</v>
      </c>
      <c r="HK55" s="8">
        <v>27</v>
      </c>
      <c r="HN55" s="37" t="s">
        <v>63</v>
      </c>
      <c r="HO55" s="8">
        <v>720</v>
      </c>
      <c r="HP55" s="8">
        <v>144.4</v>
      </c>
      <c r="HQ55" s="8">
        <v>575.6</v>
      </c>
      <c r="HR55" s="8">
        <v>0</v>
      </c>
      <c r="HS55" s="6">
        <f>(HR55/$HN$4)*100</f>
        <v>0</v>
      </c>
      <c r="HT55" s="8">
        <v>0</v>
      </c>
      <c r="HU55" s="6">
        <f>(HT55/$HN$4)*100</f>
        <v>0</v>
      </c>
      <c r="HV55" s="8">
        <v>0</v>
      </c>
      <c r="HW55" s="6">
        <f>(HV55/$HN$4)*100</f>
        <v>0</v>
      </c>
      <c r="HX55" s="8">
        <v>0</v>
      </c>
      <c r="HY55" s="6">
        <f>(HO55/$HN$4)*100</f>
        <v>100</v>
      </c>
      <c r="HZ55" s="21">
        <f>((HO55-HX55)/$HN$4)*100</f>
        <v>100</v>
      </c>
      <c r="IA55" s="21">
        <f t="shared" si="848"/>
        <v>0</v>
      </c>
      <c r="IB55" s="6">
        <f>(ID55/($HN$4*IE55))*100</f>
        <v>17.530864197530864</v>
      </c>
      <c r="IC55" s="6">
        <f t="shared" si="876"/>
        <v>720</v>
      </c>
      <c r="ID55" s="46">
        <v>3408</v>
      </c>
      <c r="IE55" s="8">
        <v>27</v>
      </c>
      <c r="IF55" s="15">
        <v>26</v>
      </c>
    </row>
    <row r="56" spans="1:240" ht="15" x14ac:dyDescent="0.25">
      <c r="B56" s="24" t="s">
        <v>39</v>
      </c>
      <c r="C56" s="25">
        <f>SUM(C53:C55)</f>
        <v>2232</v>
      </c>
      <c r="D56" s="25">
        <f t="shared" ref="D56:L56" si="878">SUM(D53:D55)</f>
        <v>78.100000000000009</v>
      </c>
      <c r="E56" s="25">
        <f t="shared" si="878"/>
        <v>2153.8999999999996</v>
      </c>
      <c r="F56" s="25">
        <f t="shared" si="878"/>
        <v>0</v>
      </c>
      <c r="G56" s="26">
        <f>(G53*S53+G54*S54+G55*S55)/S56</f>
        <v>0</v>
      </c>
      <c r="H56" s="25">
        <f t="shared" si="878"/>
        <v>0</v>
      </c>
      <c r="I56" s="26">
        <f>(I53*S53+I54*S54+I55*S55)/S56</f>
        <v>0</v>
      </c>
      <c r="J56" s="26">
        <f>SUM(J53:J55)</f>
        <v>0</v>
      </c>
      <c r="K56" s="26">
        <f>(K53*S53+K54*S54+K55*S55)/S56</f>
        <v>0</v>
      </c>
      <c r="L56" s="25">
        <f t="shared" si="878"/>
        <v>0</v>
      </c>
      <c r="M56" s="26">
        <f>(M53*S53+M54*S54+M55*S55)/S56</f>
        <v>100</v>
      </c>
      <c r="N56" s="7">
        <f>(N53*S53+N54*S54+N55*S55)/S56</f>
        <v>100</v>
      </c>
      <c r="O56" s="7">
        <f>(O53*S53+O54*S54+O55*S55)/S56</f>
        <v>0</v>
      </c>
      <c r="P56" s="7">
        <f>(P53*S53+P54*S54+P55*S55)/S56</f>
        <v>2.6931501393866983</v>
      </c>
      <c r="Q56" s="30">
        <f>SUM(Q53:Q55)</f>
        <v>2232</v>
      </c>
      <c r="R56" s="96">
        <f>SUM(R53:R55)</f>
        <v>1623</v>
      </c>
      <c r="S56" s="25">
        <f>SUM(S53:S55)</f>
        <v>81</v>
      </c>
      <c r="V56" s="32" t="s">
        <v>39</v>
      </c>
      <c r="W56" s="29">
        <f>SUM(W53:W55)</f>
        <v>2232</v>
      </c>
      <c r="X56" s="29">
        <f t="shared" ref="X56" si="879">SUM(X53:X55)</f>
        <v>678.19999999999993</v>
      </c>
      <c r="Y56" s="29">
        <f>SUM(Y53:Y55)</f>
        <v>1553.8000000000002</v>
      </c>
      <c r="Z56" s="29">
        <f t="shared" ref="Z56:AF56" si="880">SUM(Z53:Z55)</f>
        <v>0</v>
      </c>
      <c r="AA56" s="30">
        <f>(AA53*AM53+AA54*AM54+AA55*AM55)/AM56</f>
        <v>0</v>
      </c>
      <c r="AB56" s="29">
        <f t="shared" si="880"/>
        <v>0</v>
      </c>
      <c r="AC56" s="30">
        <f>(AC53*AM53+AC54*AM54+AC55*AM55)/AM56</f>
        <v>0</v>
      </c>
      <c r="AD56" s="30">
        <f>SUM(AD53:AD55)</f>
        <v>0</v>
      </c>
      <c r="AE56" s="30">
        <f>(AE53*AM53+AE54*AM54+AE55*AM55)/AM56</f>
        <v>0</v>
      </c>
      <c r="AF56" s="29">
        <f t="shared" si="880"/>
        <v>0</v>
      </c>
      <c r="AG56" s="26">
        <f>(AG53*AM53+AG54*AM54+AG55*AM55)/AM56</f>
        <v>100</v>
      </c>
      <c r="AH56" s="30">
        <f>(AH53*AM53+AH54*AM54+AH55*AM55)/AM56</f>
        <v>100</v>
      </c>
      <c r="AI56" s="30">
        <f>(AI53*AM53+AI54*AM54+AI55*AM55)/AM56</f>
        <v>0</v>
      </c>
      <c r="AJ56" s="7">
        <f>(AJ53*AM53+AJ54*AM54+AJ55*AM55)/AM56</f>
        <v>26.757268020708882</v>
      </c>
      <c r="AK56" s="30">
        <f>SUM(AK53:AK55)</f>
        <v>2232</v>
      </c>
      <c r="AL56" s="89">
        <f>SUM(AL53:AL55)</f>
        <v>16125</v>
      </c>
      <c r="AM56" s="29">
        <f>SUM(AM53:AM55)</f>
        <v>81</v>
      </c>
      <c r="AP56" s="32" t="s">
        <v>39</v>
      </c>
      <c r="AQ56" s="25">
        <f>SUM(AQ53:AQ55)</f>
        <v>2144</v>
      </c>
      <c r="AR56" s="25">
        <f t="shared" ref="AR56:AZ56" si="881">SUM(AR53:AR55)</f>
        <v>518.09999999999991</v>
      </c>
      <c r="AS56" s="25">
        <f>SUM(AS53:AS55)</f>
        <v>1625.8999999999999</v>
      </c>
      <c r="AT56" s="25">
        <f t="shared" si="881"/>
        <v>16</v>
      </c>
      <c r="AU56" s="26">
        <f>(AU53*BG53+AU54*BG54+AU55*BG55)/BG56</f>
        <v>0.7407407407407407</v>
      </c>
      <c r="AV56" s="25">
        <f t="shared" si="881"/>
        <v>0</v>
      </c>
      <c r="AW56" s="26">
        <f>(AW53*BG53+AW54*BG54+AW55*BG55)/BG56</f>
        <v>0</v>
      </c>
      <c r="AX56" s="26">
        <f>SUM(AX53:AX55)</f>
        <v>0</v>
      </c>
      <c r="AY56" s="30">
        <f>(AY53*BG53+AY54*BG54+AY55*BG55)/BG56</f>
        <v>0</v>
      </c>
      <c r="AZ56" s="25">
        <f t="shared" si="881"/>
        <v>0</v>
      </c>
      <c r="BA56" s="26">
        <f>(BA53*BG53+BA54*BG54+BA55*BG55)/BG56</f>
        <v>99.259259259259252</v>
      </c>
      <c r="BB56" s="7">
        <f>(BB53*BG53+BB54*BG54+BB55*BG55)/BG56</f>
        <v>99.259259259259252</v>
      </c>
      <c r="BC56" s="7">
        <f>(BC53*BG53+BC54*BG54+BC55*BG55)/BG56</f>
        <v>3.5041611914148056</v>
      </c>
      <c r="BD56" s="7">
        <f>(BD53*BG53+BD54*BG54+BD55*BG55)/BG56</f>
        <v>22.402263374485599</v>
      </c>
      <c r="BE56" s="30">
        <f>SUM(BE53:BE55)</f>
        <v>2160</v>
      </c>
      <c r="BF56" s="89">
        <f>SUM(BF53:BF55)</f>
        <v>13065</v>
      </c>
      <c r="BG56" s="29">
        <f>SUM(BG53:BG55)</f>
        <v>81</v>
      </c>
      <c r="BJ56" s="32" t="s">
        <v>39</v>
      </c>
      <c r="BK56" s="25">
        <f>SUM(BK53:BK55)</f>
        <v>2112</v>
      </c>
      <c r="BL56" s="25">
        <f t="shared" ref="BL56:BT56" si="882">SUM(BL53:BL55)</f>
        <v>551.70000000000005</v>
      </c>
      <c r="BM56" s="25">
        <f>SUM(BM53:BM55)</f>
        <v>1560.3</v>
      </c>
      <c r="BN56" s="25">
        <f t="shared" si="882"/>
        <v>120</v>
      </c>
      <c r="BO56" s="26">
        <f>(BO53*CA53+BO54*CA54+BO55*CA55)/CA56</f>
        <v>5.3763440860215059</v>
      </c>
      <c r="BP56" s="25">
        <f t="shared" si="882"/>
        <v>0</v>
      </c>
      <c r="BQ56" s="26">
        <f>(BQ53*CA53+BQ54*CA54+BQ55*CA55)/CA56</f>
        <v>0</v>
      </c>
      <c r="BR56" s="26">
        <f>SUM(BR53:BR55)</f>
        <v>0</v>
      </c>
      <c r="BS56" s="30">
        <f>(BS53*CA53+BS54*CA54+BS55*CA55)/CA56</f>
        <v>0</v>
      </c>
      <c r="BT56" s="25">
        <f t="shared" si="882"/>
        <v>0</v>
      </c>
      <c r="BU56" s="26">
        <f>(BU53*CA53+BU54*CA54+BU55*CA55)/CA56</f>
        <v>94.623655913978496</v>
      </c>
      <c r="BV56" s="7">
        <f>(BV53*CA53+BV54*CA54+BV55*CA55)/CA56</f>
        <v>94.623655913978496</v>
      </c>
      <c r="BW56" s="7">
        <f>(BW53*CA53+BW54*CA54+BW55*CA55)/CA56</f>
        <v>13.591573224600745</v>
      </c>
      <c r="BX56" s="7">
        <f>(BX53*CA53+BX54*CA54+BX55*CA55)/CA56</f>
        <v>22.66693216514005</v>
      </c>
      <c r="BY56" s="30">
        <f>SUM(BY53:BY55)</f>
        <v>2232</v>
      </c>
      <c r="BZ56" s="89">
        <f>SUM(BZ53:BZ55)</f>
        <v>13660</v>
      </c>
      <c r="CA56" s="29">
        <f>SUM(CA53:CA55)</f>
        <v>81</v>
      </c>
      <c r="CD56" s="32" t="s">
        <v>39</v>
      </c>
      <c r="CE56" s="25">
        <f>SUM(CE53:CE55)</f>
        <v>2158</v>
      </c>
      <c r="CF56" s="25">
        <f t="shared" ref="CF56:CN56" si="883">SUM(CF53:CF55)</f>
        <v>198.08</v>
      </c>
      <c r="CG56" s="25">
        <f>SUM(CG53:CG55)</f>
        <v>1959.92</v>
      </c>
      <c r="CH56" s="25">
        <f t="shared" si="883"/>
        <v>2</v>
      </c>
      <c r="CI56" s="26">
        <f>(CI53*CU53+CI54*CU54+CI55*CU55)/CU56</f>
        <v>9.2592592592592587E-2</v>
      </c>
      <c r="CJ56" s="25">
        <f t="shared" si="883"/>
        <v>0</v>
      </c>
      <c r="CK56" s="26">
        <f>(CK53*CU53+CK54*CU54+CK55*CU55)/CU56</f>
        <v>0</v>
      </c>
      <c r="CL56" s="26">
        <f>SUM(CL53:CL55)</f>
        <v>0</v>
      </c>
      <c r="CM56" s="26">
        <f>(CM53*CU53+CM54*CU54+CM55*CU55)/CU56</f>
        <v>0</v>
      </c>
      <c r="CN56" s="25">
        <f t="shared" si="883"/>
        <v>0</v>
      </c>
      <c r="CO56" s="26">
        <f>(CO53*CU53+CO54*CU54+CO55*CU55)/CU56</f>
        <v>99.907407407407405</v>
      </c>
      <c r="CP56" s="7">
        <f>(CP53*CU53+CP54*CU54+CP55*CU55)/CU56</f>
        <v>99.907407407407405</v>
      </c>
      <c r="CQ56" s="7">
        <f>(CQ53*CU53+CQ54*CU54+CQ55*CU55)/CU56</f>
        <v>0.98867961836966711</v>
      </c>
      <c r="CR56" s="7">
        <f>(CR53*CU53+CR54*CU54+CR55*CU55)/CU56</f>
        <v>8.2698902606310014</v>
      </c>
      <c r="CS56" s="30">
        <f>SUM(CS53:CS55)</f>
        <v>2160</v>
      </c>
      <c r="CT56" s="33">
        <f>SUM(CT53:CT55)</f>
        <v>4823</v>
      </c>
      <c r="CU56" s="29">
        <f>SUM(CU53:CU55)</f>
        <v>81</v>
      </c>
      <c r="CX56" s="32" t="s">
        <v>39</v>
      </c>
      <c r="CY56" s="25">
        <f>SUM(CY53:CY55)</f>
        <v>2218</v>
      </c>
      <c r="CZ56" s="25">
        <f t="shared" ref="CZ56:DH56" si="884">SUM(CZ53:CZ55)</f>
        <v>309.72000000000003</v>
      </c>
      <c r="DA56" s="25">
        <f>SUM(DA53:DA55)</f>
        <v>1908.2800000000002</v>
      </c>
      <c r="DB56" s="25">
        <f t="shared" si="884"/>
        <v>14</v>
      </c>
      <c r="DC56" s="26">
        <f>(DC53*DO53+DC54*DO54+DC55*DO55)/DO56</f>
        <v>0.62724014336917566</v>
      </c>
      <c r="DD56" s="25">
        <f t="shared" si="884"/>
        <v>0</v>
      </c>
      <c r="DE56" s="26">
        <f>(DE53*DO53+DE54*DO54+DE55*DO55)/DO56</f>
        <v>0</v>
      </c>
      <c r="DF56" s="26">
        <f>SUM(DF53:DF55)</f>
        <v>0</v>
      </c>
      <c r="DG56" s="30">
        <f>(DG53*DO53+DG54*DO54+DG55*DO55)/DO56</f>
        <v>0</v>
      </c>
      <c r="DH56" s="25">
        <f t="shared" si="884"/>
        <v>0</v>
      </c>
      <c r="DI56" s="26">
        <f>(DI53*DO53+DI54*DO54+DI55*DO55)/DO56</f>
        <v>99.372759856630822</v>
      </c>
      <c r="DJ56" s="7">
        <f>(DJ53*DO53+DJ54*DO54+DJ55*DO55)/DO56</f>
        <v>99.372759856630822</v>
      </c>
      <c r="DK56" s="7">
        <f>(DK53*DO53+DK54*DO54+DK55*DO55)/DO56</f>
        <v>4.1416604282535863</v>
      </c>
      <c r="DL56" s="7">
        <f>(DL53*DO53+DL54*DO54+DL55*DO55)/DO56</f>
        <v>12.884972786406479</v>
      </c>
      <c r="DM56" s="30">
        <f>SUM(DM53:DM55)</f>
        <v>2232</v>
      </c>
      <c r="DN56" s="88">
        <f>SUM(DN53:DN55)</f>
        <v>7765</v>
      </c>
      <c r="DO56" s="29">
        <f>SUM(DO53:DO55)</f>
        <v>81</v>
      </c>
      <c r="DR56" s="32" t="s">
        <v>39</v>
      </c>
      <c r="DS56" s="25">
        <f>SUM(DS53:DS55)</f>
        <v>1854</v>
      </c>
      <c r="DT56" s="25">
        <f t="shared" ref="DT56:EB56" si="885">SUM(DT53:DT55)</f>
        <v>289</v>
      </c>
      <c r="DU56" s="25">
        <f>SUM(DU53:DU55)</f>
        <v>1565</v>
      </c>
      <c r="DV56" s="25">
        <f t="shared" si="885"/>
        <v>378</v>
      </c>
      <c r="DW56" s="26">
        <f>(DW53*EI53+DW54*EI54+DW55*EI55)/EI56</f>
        <v>16.93548387096774</v>
      </c>
      <c r="DX56" s="25">
        <f t="shared" si="885"/>
        <v>0</v>
      </c>
      <c r="DY56" s="26">
        <f>(DY53*EI53+DY54*EI54+DY55*EI55)/EI56</f>
        <v>0</v>
      </c>
      <c r="DZ56" s="26">
        <f>SUM(DZ53:DZ55)</f>
        <v>0</v>
      </c>
      <c r="EA56" s="30">
        <f>(EA53*EI53+EA54*EI54+EA55*EI55)/EI56</f>
        <v>0</v>
      </c>
      <c r="EB56" s="25">
        <f t="shared" si="885"/>
        <v>0</v>
      </c>
      <c r="EC56" s="26">
        <f>(EC53*EI53+EC54*EI54+EC55*EI55)/EI56</f>
        <v>83.06451612903227</v>
      </c>
      <c r="ED56" s="7">
        <f>(ED53*EI53+ED54*EI54+ED55*EI55)/EI56</f>
        <v>83.06451612903227</v>
      </c>
      <c r="EE56" s="7">
        <f>(EE53*EI53+EE54*EI54+EE55*EI55)/EI56</f>
        <v>33.593940477544983</v>
      </c>
      <c r="EF56" s="7">
        <f>(EF53*EI53+EF54*EI54+EF55*EI55)/EI56</f>
        <v>11.361675295367052</v>
      </c>
      <c r="EG56" s="30">
        <f>SUM(EG53:EG55)</f>
        <v>2232</v>
      </c>
      <c r="EH56" s="89">
        <f>SUM(EH53:EH55)</f>
        <v>6847</v>
      </c>
      <c r="EI56" s="29">
        <f>SUM(EI53:EI55)</f>
        <v>81</v>
      </c>
      <c r="EL56" s="24" t="s">
        <v>39</v>
      </c>
      <c r="EM56" s="25">
        <f>SUM(EM53:EM55)</f>
        <v>1968</v>
      </c>
      <c r="EN56" s="25">
        <f t="shared" ref="EN56:EV56" si="886">SUM(EN53:EN55)</f>
        <v>318.10000000000002</v>
      </c>
      <c r="EO56" s="25">
        <f>SUM(EO53:EO55)</f>
        <v>1649.8999999999999</v>
      </c>
      <c r="EP56" s="25">
        <f t="shared" si="886"/>
        <v>48</v>
      </c>
      <c r="EQ56" s="26">
        <f>(EQ53*FC53+EQ54*FC54+EQ55*FC55)/FC56</f>
        <v>2.3809523809523805</v>
      </c>
      <c r="ER56" s="25">
        <f t="shared" si="886"/>
        <v>0</v>
      </c>
      <c r="ES56" s="26">
        <f>(ES53*FC53+ES54*FC54+ES55*FC55)/FC56</f>
        <v>0</v>
      </c>
      <c r="ET56" s="26">
        <f>SUM(ET53:ET55)</f>
        <v>0</v>
      </c>
      <c r="EU56" s="30">
        <f>(EU53*FC53+EU54*FC54+EU55*FC55)/FC56</f>
        <v>0</v>
      </c>
      <c r="EV56" s="25">
        <f t="shared" si="886"/>
        <v>0</v>
      </c>
      <c r="EW56" s="26">
        <f>(EW53*FC53+EW54*FC54+EW55*FC55)/FC56</f>
        <v>88.172043010752688</v>
      </c>
      <c r="EX56" s="7">
        <f>(EX53*FC53+EX54*FC54+EX55*FC55)/FC56</f>
        <v>97.61904761904762</v>
      </c>
      <c r="EY56" s="7">
        <f>(EY53*FC53+EY54*FC54+EY55*FC55)/FC56</f>
        <v>12.066365007541478</v>
      </c>
      <c r="EZ56" s="7">
        <f>(EZ53*FC53+EZ54*FC54+EZ55*FC55)/FC56</f>
        <v>14.936067019400351</v>
      </c>
      <c r="FA56" s="30">
        <f>SUM(FA53:FA55)</f>
        <v>2016</v>
      </c>
      <c r="FB56" s="89">
        <f>SUM(FB53:FB55)</f>
        <v>8130</v>
      </c>
      <c r="FC56" s="29">
        <f>SUM(FC53:FC55)</f>
        <v>81</v>
      </c>
      <c r="FF56" s="32" t="s">
        <v>39</v>
      </c>
      <c r="FG56" s="25">
        <f>SUM(FG53:FG55)</f>
        <v>2232</v>
      </c>
      <c r="FH56" s="25">
        <f t="shared" ref="FH56:FP56" si="887">SUM(FH53:FH55)</f>
        <v>939.59999999999991</v>
      </c>
      <c r="FI56" s="25">
        <f>SUM(FI53:FI55)</f>
        <v>1292.4000000000001</v>
      </c>
      <c r="FJ56" s="25">
        <f t="shared" si="887"/>
        <v>0</v>
      </c>
      <c r="FK56" s="26">
        <f>(FK53*FW53+FK54*FW54+FK55*FW55)/FW56</f>
        <v>0</v>
      </c>
      <c r="FL56" s="25">
        <f t="shared" si="887"/>
        <v>0</v>
      </c>
      <c r="FM56" s="26">
        <f>(FM53*FW53+FM54*FW54+FM55*FW55)/FW56</f>
        <v>0</v>
      </c>
      <c r="FN56" s="26">
        <f>SUM(FN53:FN55)</f>
        <v>0</v>
      </c>
      <c r="FO56" s="30">
        <f>(FO53*FW53+FO54*FW54+FO55*FW55)/FW56</f>
        <v>0</v>
      </c>
      <c r="FP56" s="25">
        <f t="shared" si="887"/>
        <v>0</v>
      </c>
      <c r="FQ56" s="26">
        <f>(FQ53*FW53+FQ54*FW54+FQ55*FW55)/FW56</f>
        <v>100</v>
      </c>
      <c r="FR56" s="7">
        <f>(FR53*FW53+FR54*FW54+FR55*FW55)/FW56</f>
        <v>100</v>
      </c>
      <c r="FS56" s="7">
        <f>(FS53*FW53+FS54*FW54+FS55*FW55)/FW56</f>
        <v>0</v>
      </c>
      <c r="FT56" s="7">
        <f>(FT53*FW53+FT54*FW54+FT55*FW55)/FW56</f>
        <v>41.762909863268277</v>
      </c>
      <c r="FU56" s="30">
        <f>SUM(FU53:FU55)</f>
        <v>2232</v>
      </c>
      <c r="FV56" s="89">
        <f>SUM(FV53:FV55)</f>
        <v>25168</v>
      </c>
      <c r="FW56" s="29">
        <f>SUM(FW53:FW55)</f>
        <v>81</v>
      </c>
      <c r="FZ56" s="32" t="s">
        <v>39</v>
      </c>
      <c r="GA56" s="25">
        <f>SUM(GA53:GA55)</f>
        <v>1950</v>
      </c>
      <c r="GB56" s="25">
        <f t="shared" ref="GB56:GJ56" si="888">SUM(GB53:GB55)</f>
        <v>1401.6</v>
      </c>
      <c r="GC56" s="25">
        <f>SUM(GC53:GC55)</f>
        <v>548.4</v>
      </c>
      <c r="GD56" s="25">
        <f t="shared" si="888"/>
        <v>210</v>
      </c>
      <c r="GE56" s="78">
        <f>(GE53*GQ53+GE54*GQ54+GE55*GQ55)/GQ56</f>
        <v>9.7222222222222224E-2</v>
      </c>
      <c r="GF56" s="25">
        <f t="shared" si="888"/>
        <v>0</v>
      </c>
      <c r="GG56" s="26">
        <f>(GG53*GQ53+GG54*GQ54+GG55*GQ55)/GQ56</f>
        <v>0</v>
      </c>
      <c r="GH56" s="26">
        <f>SUM(GH53:GH55)</f>
        <v>0</v>
      </c>
      <c r="GI56" s="26">
        <f>(GI53*GQ53+GI54*GQ54+GI55*GQ55)/GQ56</f>
        <v>0</v>
      </c>
      <c r="GJ56" s="25">
        <f t="shared" si="888"/>
        <v>0</v>
      </c>
      <c r="GK56" s="26">
        <f>(GK53*GQ53+GK54*GQ54+GK55*GQ55)/GQ56</f>
        <v>87.365591397849471</v>
      </c>
      <c r="GL56" s="7">
        <f>(GL53*GQ53+GL54*GQ54+GL55*GQ55)/GQ56</f>
        <v>90.277777777777771</v>
      </c>
      <c r="GM56" s="7">
        <f>(GM53*GQ53+GM54*GQ54+GM55*GQ55)/GQ56</f>
        <v>14.383307374024575</v>
      </c>
      <c r="GN56" s="193">
        <f>(GN53*GQ53+GN54*GQ54+GN55*GQ55)/GQ56</f>
        <v>62.139917695473258</v>
      </c>
      <c r="GO56" s="30">
        <f>SUM(GO53:GO55)</f>
        <v>2160</v>
      </c>
      <c r="GP56" s="45">
        <f>SUM(GP53:GP55)</f>
        <v>36240</v>
      </c>
      <c r="GQ56" s="29">
        <f>SUM(GQ53:GQ55)</f>
        <v>81</v>
      </c>
      <c r="GT56" s="32" t="s">
        <v>39</v>
      </c>
      <c r="GU56" s="25">
        <f>SUM(GU53:GU55)</f>
        <v>1200</v>
      </c>
      <c r="GV56" s="25">
        <f t="shared" ref="GV56:HD56" si="889">SUM(GV53:GV55)</f>
        <v>375.6</v>
      </c>
      <c r="GW56" s="25">
        <f>SUM(GW53:GW55)</f>
        <v>824.4</v>
      </c>
      <c r="GX56" s="25">
        <f t="shared" si="889"/>
        <v>1032</v>
      </c>
      <c r="GY56" s="26">
        <f>(GY53*HK53+GY54*HK54+GY55*HK55)/HK56</f>
        <v>46.236559139784944</v>
      </c>
      <c r="GZ56" s="25">
        <f t="shared" si="889"/>
        <v>0</v>
      </c>
      <c r="HA56" s="26">
        <f>(HA53*HK53+HA54*HK54+HA55*HK55)/HK56</f>
        <v>0</v>
      </c>
      <c r="HB56" s="26">
        <f>SUM(HB53:HB55)</f>
        <v>0</v>
      </c>
      <c r="HC56" s="26">
        <f>(HC54*HK54+HC55*HK55)/HK56</f>
        <v>0</v>
      </c>
      <c r="HD56" s="25">
        <f t="shared" si="889"/>
        <v>0</v>
      </c>
      <c r="HE56" s="26">
        <f>(HE53*HK53+HE54*HK54+HE55*HK55)/HK56</f>
        <v>53.763440860215056</v>
      </c>
      <c r="HF56" s="7">
        <f>(HF53*HK53+HF54*HK54+HF55*HK55)/HK56</f>
        <v>53.763440860215056</v>
      </c>
      <c r="HG56" s="7">
        <f>(HG53*HK53+HG54*HK54+HG55*HK55)/HK56</f>
        <v>64.789425135338547</v>
      </c>
      <c r="HH56" s="193">
        <f>(HH53*HK53+HH54*HK54+HH55*HK55)/HK56</f>
        <v>14.658834461701847</v>
      </c>
      <c r="HI56" s="30">
        <f>SUM(HI53:HI55)</f>
        <v>2232</v>
      </c>
      <c r="HJ56" s="89">
        <f>SUM(HJ53:HJ55)</f>
        <v>8834</v>
      </c>
      <c r="HK56" s="29">
        <f>SUM(HK53:HK55)</f>
        <v>81</v>
      </c>
      <c r="HN56" s="87" t="s">
        <v>39</v>
      </c>
      <c r="HO56" s="29">
        <f>SUM(HO53:HO55)</f>
        <v>2160</v>
      </c>
      <c r="HP56" s="29">
        <f t="shared" ref="HP56" si="890">SUM(HP53:HP55)</f>
        <v>418</v>
      </c>
      <c r="HQ56" s="29">
        <f>SUM(HQ53:HQ55)</f>
        <v>1742</v>
      </c>
      <c r="HR56" s="29">
        <f t="shared" ref="HR56" si="891">SUM(HR53:HR55)</f>
        <v>0</v>
      </c>
      <c r="HS56" s="26">
        <f>(HS53*IE53+HS54*IE54+HS55*IE55)/IE56</f>
        <v>0</v>
      </c>
      <c r="HT56" s="29">
        <f t="shared" ref="HT56" si="892">SUM(HT53:HT55)</f>
        <v>0</v>
      </c>
      <c r="HU56" s="26">
        <f>(HU53*IE53+HU54*IE54+HU55*IE55)/IE56</f>
        <v>0</v>
      </c>
      <c r="HV56" s="29">
        <f>SUM(HV53:HV55)</f>
        <v>0</v>
      </c>
      <c r="HW56" s="26">
        <f>(HW53*IE53+HW54*IE54+HW55*IE55)/IE56</f>
        <v>0</v>
      </c>
      <c r="HX56" s="29">
        <f t="shared" ref="HX56" si="893">SUM(HX53:HX55)</f>
        <v>0</v>
      </c>
      <c r="HY56" s="30">
        <f>(HY53*IE53+HY54*IE54+HY55*IE55)/IE56</f>
        <v>100</v>
      </c>
      <c r="HZ56" s="193">
        <f>(HZ53*IE53+HZ54*IE54+HZ55*IE55)/IE56</f>
        <v>100</v>
      </c>
      <c r="IA56" s="193">
        <f>(IA53*IE53+IA54*IE54+IA55*IE55)/IE56</f>
        <v>0</v>
      </c>
      <c r="IB56" s="193">
        <f>(IB53*IE53+IB54*IE54+IB55*IE55)/IE56</f>
        <v>18.170438957475994</v>
      </c>
      <c r="IC56" s="30">
        <f>SUM(IC53:IC55)</f>
        <v>2160</v>
      </c>
      <c r="ID56" s="47">
        <f>SUM(ID53:ID55)</f>
        <v>10597</v>
      </c>
      <c r="IE56" s="29">
        <f>SUM(IE53:IE55)</f>
        <v>81</v>
      </c>
      <c r="IF56" s="15"/>
    </row>
    <row r="57" spans="1:240" ht="15" x14ac:dyDescent="0.2">
      <c r="A57" s="74" t="s">
        <v>64</v>
      </c>
      <c r="B57" s="37" t="s">
        <v>65</v>
      </c>
      <c r="C57" s="8">
        <v>744</v>
      </c>
      <c r="D57" s="8">
        <v>159</v>
      </c>
      <c r="E57" s="8">
        <v>585</v>
      </c>
      <c r="F57" s="8">
        <v>0</v>
      </c>
      <c r="G57" s="6">
        <f t="shared" si="339"/>
        <v>0</v>
      </c>
      <c r="H57" s="8">
        <v>0</v>
      </c>
      <c r="I57" s="6">
        <f t="shared" si="340"/>
        <v>0</v>
      </c>
      <c r="J57" s="6">
        <v>0</v>
      </c>
      <c r="K57" s="6">
        <f t="shared" ref="K57:K58" si="894">(J57/$B$4)*100</f>
        <v>0</v>
      </c>
      <c r="L57" s="8">
        <v>0</v>
      </c>
      <c r="M57" s="6">
        <f>(C57/$B$4)*100</f>
        <v>100</v>
      </c>
      <c r="N57" s="8">
        <f t="shared" si="525"/>
        <v>100</v>
      </c>
      <c r="O57" s="8">
        <f t="shared" si="526"/>
        <v>0</v>
      </c>
      <c r="P57" s="6">
        <f>(R57/($B$4*S57))*100</f>
        <v>13.390355164548712</v>
      </c>
      <c r="Q57" s="6">
        <f>SUM(D57:F57,H57,J57)</f>
        <v>744</v>
      </c>
      <c r="R57" s="85">
        <v>8219</v>
      </c>
      <c r="S57" s="8">
        <v>82.5</v>
      </c>
      <c r="U57" s="74" t="s">
        <v>64</v>
      </c>
      <c r="V57" s="37" t="s">
        <v>65</v>
      </c>
      <c r="W57" s="41">
        <v>744</v>
      </c>
      <c r="X57" s="41">
        <v>441</v>
      </c>
      <c r="Y57" s="41">
        <v>303</v>
      </c>
      <c r="Z57" s="8">
        <v>0</v>
      </c>
      <c r="AA57" s="6">
        <f t="shared" si="830"/>
        <v>0</v>
      </c>
      <c r="AB57" s="8">
        <v>0</v>
      </c>
      <c r="AC57" s="6">
        <f t="shared" si="830"/>
        <v>0</v>
      </c>
      <c r="AD57" s="6">
        <v>0</v>
      </c>
      <c r="AE57" s="6">
        <f t="shared" ref="AE57:AE58" si="895">(AD57/$V$4)*100</f>
        <v>0</v>
      </c>
      <c r="AF57" s="8">
        <v>0</v>
      </c>
      <c r="AG57" s="6">
        <f>(W57/$V$4)*100</f>
        <v>100</v>
      </c>
      <c r="AH57" s="8">
        <f t="shared" si="832"/>
        <v>100</v>
      </c>
      <c r="AI57" s="15">
        <f t="shared" ref="AI57:AI58" si="896">IF((AND(X57=0,Z57=0)),0,(Z57+AF57)/(X57+Z57)*100)</f>
        <v>0</v>
      </c>
      <c r="AJ57" s="6">
        <f>(AL57/($V$4*AM57))*100</f>
        <v>41.270772238514176</v>
      </c>
      <c r="AK57" s="6">
        <f>SUM(X57:Z57,AB57,AD57)</f>
        <v>744</v>
      </c>
      <c r="AL57" s="86">
        <v>25332</v>
      </c>
      <c r="AM57" s="8">
        <v>82.5</v>
      </c>
      <c r="AO57" s="74" t="s">
        <v>64</v>
      </c>
      <c r="AP57" s="37" t="s">
        <v>65</v>
      </c>
      <c r="AQ57" s="8">
        <v>720</v>
      </c>
      <c r="AR57" s="8">
        <v>499.88</v>
      </c>
      <c r="AS57" s="8">
        <v>220.12</v>
      </c>
      <c r="AT57" s="8">
        <v>0</v>
      </c>
      <c r="AU57" s="6">
        <f t="shared" si="833"/>
        <v>0</v>
      </c>
      <c r="AV57" s="8">
        <v>0</v>
      </c>
      <c r="AW57" s="8">
        <f>(AV57/$AP$4)*100</f>
        <v>0</v>
      </c>
      <c r="AX57" s="8">
        <v>0</v>
      </c>
      <c r="AY57" s="6">
        <f>(AX57/$AP$4)*100</f>
        <v>0</v>
      </c>
      <c r="AZ57" s="8">
        <v>0</v>
      </c>
      <c r="BA57" s="6">
        <f>(AQ57/$AP$4)*100</f>
        <v>100</v>
      </c>
      <c r="BB57" s="6">
        <f t="shared" si="456"/>
        <v>100</v>
      </c>
      <c r="BC57" s="15">
        <f t="shared" si="457"/>
        <v>0</v>
      </c>
      <c r="BD57" s="6">
        <f t="shared" ref="BD57:BD58" si="897">(BF57/($AP$4*BG57))*100</f>
        <v>48.813131313131315</v>
      </c>
      <c r="BE57" s="6">
        <f>SUM(AR57:AT57,AV57,AX57)</f>
        <v>720</v>
      </c>
      <c r="BF57" s="86">
        <v>28995</v>
      </c>
      <c r="BG57" s="8">
        <v>82.5</v>
      </c>
      <c r="BI57" s="74" t="s">
        <v>64</v>
      </c>
      <c r="BJ57" s="37" t="s">
        <v>65</v>
      </c>
      <c r="BK57" s="8">
        <v>744</v>
      </c>
      <c r="BL57" s="8">
        <v>420.2</v>
      </c>
      <c r="BM57" s="8">
        <v>323.89999999999998</v>
      </c>
      <c r="BN57" s="8">
        <v>0</v>
      </c>
      <c r="BO57" s="8">
        <f t="shared" si="836"/>
        <v>0</v>
      </c>
      <c r="BP57" s="8">
        <v>0</v>
      </c>
      <c r="BQ57" s="8">
        <f t="shared" si="836"/>
        <v>0</v>
      </c>
      <c r="BR57" s="8">
        <v>0</v>
      </c>
      <c r="BS57" s="6">
        <f>(BR57/$BJ$4)*100</f>
        <v>0</v>
      </c>
      <c r="BT57" s="8">
        <v>0</v>
      </c>
      <c r="BU57" s="6">
        <f>(BK57/$BJ$4)*100</f>
        <v>100</v>
      </c>
      <c r="BV57" s="6">
        <f t="shared" ref="BV57:BV78" si="898">((BK57-BT57)/$BJ$4)*100</f>
        <v>100</v>
      </c>
      <c r="BW57" s="18">
        <f t="shared" ref="BW57:BW78" si="899">IF((AND(BL57=0,BN57=0)),0,(BN57+BT57)/(BL57+BN57)*100)</f>
        <v>0</v>
      </c>
      <c r="BX57" s="6">
        <f t="shared" ref="BX57:BX58" si="900">(BZ57/($BJ$4*CA57))*100</f>
        <v>40.035842293906811</v>
      </c>
      <c r="BY57" s="6">
        <f>SUM(BL57:BN57,BP57,BR57)</f>
        <v>744.09999999999991</v>
      </c>
      <c r="BZ57" s="86">
        <v>24574</v>
      </c>
      <c r="CA57" s="8">
        <v>82.5</v>
      </c>
      <c r="CC57" s="74" t="s">
        <v>64</v>
      </c>
      <c r="CD57" s="37" t="s">
        <v>65</v>
      </c>
      <c r="CE57" s="8">
        <v>492.7</v>
      </c>
      <c r="CF57" s="8">
        <v>106.28</v>
      </c>
      <c r="CG57" s="8">
        <v>386.37</v>
      </c>
      <c r="CH57" s="8">
        <v>76</v>
      </c>
      <c r="CI57" s="6">
        <f t="shared" si="839"/>
        <v>10.555555555555555</v>
      </c>
      <c r="CJ57" s="8">
        <v>151.35</v>
      </c>
      <c r="CK57" s="6">
        <f t="shared" si="839"/>
        <v>21.020833333333332</v>
      </c>
      <c r="CL57" s="6">
        <v>0</v>
      </c>
      <c r="CM57" s="6">
        <f>(CL57/$CD$4)*100</f>
        <v>0</v>
      </c>
      <c r="CN57" s="8">
        <v>0</v>
      </c>
      <c r="CO57" s="6">
        <f>(CE57/$CD$4)*100</f>
        <v>68.430555555555543</v>
      </c>
      <c r="CP57" s="6">
        <f t="shared" si="840"/>
        <v>68.430555555555543</v>
      </c>
      <c r="CQ57" s="18">
        <f t="shared" ref="CQ57:CQ58" si="901">IF((AND(CF57=0,CH57=0)),0,(CH57+CN57)/(CF57+CH57)*100)</f>
        <v>41.694096993636165</v>
      </c>
      <c r="CR57" s="6">
        <f>(CT57/($CD$4*CU57))*100</f>
        <v>9.1851851851851851</v>
      </c>
      <c r="CS57" s="6">
        <f>SUM(CF57:CH57,CJ57,CL57)</f>
        <v>720</v>
      </c>
      <c r="CT57" s="42">
        <v>5456</v>
      </c>
      <c r="CU57" s="8">
        <v>82.5</v>
      </c>
      <c r="CW57" s="74" t="s">
        <v>64</v>
      </c>
      <c r="CX57" s="37" t="s">
        <v>65</v>
      </c>
      <c r="CY57" s="8">
        <v>744</v>
      </c>
      <c r="CZ57" s="8">
        <v>332.9</v>
      </c>
      <c r="DA57" s="8">
        <v>411.1</v>
      </c>
      <c r="DB57" s="8">
        <v>0</v>
      </c>
      <c r="DC57" s="6">
        <f t="shared" si="416"/>
        <v>0</v>
      </c>
      <c r="DD57" s="8">
        <v>0</v>
      </c>
      <c r="DE57" s="6">
        <f t="shared" si="417"/>
        <v>0</v>
      </c>
      <c r="DF57" s="6">
        <v>0</v>
      </c>
      <c r="DG57" s="6">
        <f>(DF57/$CX$4)*100</f>
        <v>0</v>
      </c>
      <c r="DH57" s="8">
        <v>0</v>
      </c>
      <c r="DI57" s="6">
        <f>(CY57/$V$4)*100</f>
        <v>100</v>
      </c>
      <c r="DJ57" s="6">
        <f t="shared" si="464"/>
        <v>100</v>
      </c>
      <c r="DK57" s="18">
        <f t="shared" si="465"/>
        <v>0</v>
      </c>
      <c r="DL57" s="6">
        <f>(DN57/($CX$4*DO57))*100</f>
        <v>28.11665037471489</v>
      </c>
      <c r="DM57" s="6">
        <f>SUM(CZ57:DB57,DD57,DF57)</f>
        <v>744</v>
      </c>
      <c r="DN57" s="85">
        <v>17258</v>
      </c>
      <c r="DO57" s="8">
        <v>82.5</v>
      </c>
      <c r="DQ57" s="74" t="s">
        <v>64</v>
      </c>
      <c r="DR57" s="37" t="s">
        <v>65</v>
      </c>
      <c r="DS57" s="8">
        <v>744</v>
      </c>
      <c r="DT57" s="8">
        <v>368</v>
      </c>
      <c r="DU57" s="8">
        <v>376</v>
      </c>
      <c r="DV57" s="8">
        <v>0</v>
      </c>
      <c r="DW57" s="6">
        <f t="shared" si="420"/>
        <v>0</v>
      </c>
      <c r="DX57" s="8">
        <v>0</v>
      </c>
      <c r="DY57" s="6">
        <f t="shared" si="421"/>
        <v>0</v>
      </c>
      <c r="DZ57" s="6">
        <v>0</v>
      </c>
      <c r="EA57" s="6">
        <f>(DZ57/$DR$4)*100</f>
        <v>0</v>
      </c>
      <c r="EB57" s="8">
        <v>0</v>
      </c>
      <c r="EC57" s="6">
        <f>(DS57/$V$4)*100</f>
        <v>100</v>
      </c>
      <c r="ED57" s="6">
        <f t="shared" si="467"/>
        <v>100</v>
      </c>
      <c r="EE57" s="18">
        <f t="shared" si="468"/>
        <v>0</v>
      </c>
      <c r="EF57" s="6">
        <f>(EH57/($DR$4*EI57))*100</f>
        <v>33.80254154447703</v>
      </c>
      <c r="EG57" s="6">
        <f>SUM(DT57:DV57,DX57,DZ57)</f>
        <v>744</v>
      </c>
      <c r="EH57" s="85">
        <v>20748</v>
      </c>
      <c r="EI57" s="8">
        <v>82.5</v>
      </c>
      <c r="EK57" s="74" t="s">
        <v>64</v>
      </c>
      <c r="EL57" s="37" t="s">
        <v>65</v>
      </c>
      <c r="EM57" s="8">
        <v>670.9</v>
      </c>
      <c r="EN57" s="8">
        <v>284.98</v>
      </c>
      <c r="EO57" s="8">
        <v>385.87</v>
      </c>
      <c r="EP57" s="8">
        <v>1.1499999999999999</v>
      </c>
      <c r="EQ57" s="6">
        <f t="shared" si="424"/>
        <v>0.17113095238095236</v>
      </c>
      <c r="ER57" s="8">
        <v>0</v>
      </c>
      <c r="ES57" s="6">
        <f t="shared" si="425"/>
        <v>0</v>
      </c>
      <c r="ET57" s="6">
        <v>0</v>
      </c>
      <c r="EU57" s="6">
        <f>(ET57/$EL$4)*100</f>
        <v>0</v>
      </c>
      <c r="EV57" s="8">
        <v>0</v>
      </c>
      <c r="EW57" s="6">
        <f>(EM57/$V$4)*100</f>
        <v>90.174731182795696</v>
      </c>
      <c r="EX57" s="6">
        <f t="shared" si="469"/>
        <v>99.836309523809518</v>
      </c>
      <c r="EY57" s="18">
        <f t="shared" si="470"/>
        <v>0.4019152133645546</v>
      </c>
      <c r="EZ57" s="6">
        <f>(FB57/($EL$4*FC57))*100</f>
        <v>27.463924963924963</v>
      </c>
      <c r="FA57" s="6">
        <f>SUM(EN57:EP57,ER57,ET57)</f>
        <v>672</v>
      </c>
      <c r="FB57" s="86">
        <v>15226</v>
      </c>
      <c r="FC57" s="8">
        <v>82.5</v>
      </c>
      <c r="FE57" s="74" t="s">
        <v>64</v>
      </c>
      <c r="FF57" s="37" t="s">
        <v>65</v>
      </c>
      <c r="FG57" s="8">
        <v>738.1</v>
      </c>
      <c r="FH57" s="8">
        <v>452.6</v>
      </c>
      <c r="FI57" s="8">
        <v>285.5</v>
      </c>
      <c r="FJ57" s="8">
        <v>5.9</v>
      </c>
      <c r="FK57" s="6">
        <f t="shared" si="439"/>
        <v>0.79301075268817212</v>
      </c>
      <c r="FL57" s="8">
        <v>0</v>
      </c>
      <c r="FM57" s="6">
        <f t="shared" si="440"/>
        <v>0</v>
      </c>
      <c r="FN57" s="6">
        <v>0</v>
      </c>
      <c r="FO57" s="6">
        <f>(FN57/$FF$4)*100</f>
        <v>0</v>
      </c>
      <c r="FP57" s="8">
        <v>0</v>
      </c>
      <c r="FQ57" s="6">
        <f>(FG57/$V$4)*100</f>
        <v>99.206989247311824</v>
      </c>
      <c r="FR57" s="6">
        <f t="shared" si="473"/>
        <v>99.206989247311824</v>
      </c>
      <c r="FS57" s="18">
        <f t="shared" si="474"/>
        <v>1.28680479825518</v>
      </c>
      <c r="FT57" s="6">
        <f>(FV57/($FF$4*FW57))*100</f>
        <v>39.620397523623332</v>
      </c>
      <c r="FU57" s="6">
        <f>SUM(FH57:FJ57,FL57,FN57)</f>
        <v>744</v>
      </c>
      <c r="FV57" s="86">
        <v>24319</v>
      </c>
      <c r="FW57" s="8">
        <v>82.5</v>
      </c>
      <c r="FY57" s="74" t="s">
        <v>64</v>
      </c>
      <c r="FZ57" s="37" t="s">
        <v>65</v>
      </c>
      <c r="GA57" s="8">
        <v>707.58</v>
      </c>
      <c r="GB57" s="8">
        <v>464.9</v>
      </c>
      <c r="GC57" s="8">
        <v>242.68</v>
      </c>
      <c r="GD57" s="8">
        <v>0</v>
      </c>
      <c r="GE57" s="6">
        <f>(GD57/$FZ$4)</f>
        <v>0</v>
      </c>
      <c r="GF57" s="8">
        <v>0</v>
      </c>
      <c r="GG57" s="6">
        <f t="shared" ref="GG57:GG63" si="902">(GF57/$FZ$4)*100</f>
        <v>0</v>
      </c>
      <c r="GH57" s="6">
        <v>12.42</v>
      </c>
      <c r="GI57" s="6">
        <f>(GH57/$FZ$4)*100</f>
        <v>1.7250000000000001</v>
      </c>
      <c r="GJ57" s="8">
        <v>0</v>
      </c>
      <c r="GK57" s="6">
        <f>(GA57/$V$4)*100</f>
        <v>95.104838709677423</v>
      </c>
      <c r="GL57" s="6">
        <f t="shared" ref="GL57:GL58" si="903">((GA57-GJ57)/$FZ$4)*100</f>
        <v>98.275000000000006</v>
      </c>
      <c r="GM57" s="18">
        <f t="shared" ref="GM57:GM58" si="904">IF((AND(GB57=0,GD57=0)),0,(GD57+GJ57)/(GB57+GD57)*100)</f>
        <v>0</v>
      </c>
      <c r="GN57" s="6">
        <f>(GP57/($FZ$4*GQ57))*100</f>
        <v>45.838383838383841</v>
      </c>
      <c r="GO57" s="6">
        <f>SUM(GB57:GD57,GF57,GH57)</f>
        <v>719.99999999999989</v>
      </c>
      <c r="GP57" s="43">
        <v>27228</v>
      </c>
      <c r="GQ57" s="8">
        <v>82.5</v>
      </c>
      <c r="GS57" s="74" t="s">
        <v>64</v>
      </c>
      <c r="GT57" s="37" t="s">
        <v>65</v>
      </c>
      <c r="GU57" s="8">
        <v>663.5</v>
      </c>
      <c r="GV57" s="8">
        <v>233.87</v>
      </c>
      <c r="GW57" s="8">
        <v>429.67</v>
      </c>
      <c r="GX57" s="8">
        <v>0</v>
      </c>
      <c r="GY57" s="8">
        <f t="shared" si="559"/>
        <v>0</v>
      </c>
      <c r="GZ57" s="8">
        <v>80.47</v>
      </c>
      <c r="HA57" s="6">
        <f t="shared" si="560"/>
        <v>10.815860215053764</v>
      </c>
      <c r="HB57" s="15">
        <v>0</v>
      </c>
      <c r="HC57" s="6">
        <f>(HB57/$GT$4)*100</f>
        <v>0</v>
      </c>
      <c r="HD57" s="8">
        <v>0</v>
      </c>
      <c r="HE57" s="6">
        <f>(GU57/$GT$4)*100</f>
        <v>89.180107526881727</v>
      </c>
      <c r="HF57" s="6">
        <f t="shared" si="396"/>
        <v>89.180107526881727</v>
      </c>
      <c r="HG57" s="8">
        <f t="shared" si="397"/>
        <v>0</v>
      </c>
      <c r="HH57" s="6">
        <f t="shared" ref="HH57:HH58" si="905">(HJ57/($GT$4*HK57))*100</f>
        <v>20.711958292603455</v>
      </c>
      <c r="HI57" s="15">
        <v>744</v>
      </c>
      <c r="HJ57" s="86">
        <v>12713</v>
      </c>
      <c r="HK57" s="8">
        <v>82.5</v>
      </c>
      <c r="HM57" s="74" t="s">
        <v>64</v>
      </c>
      <c r="HN57" s="37" t="s">
        <v>65</v>
      </c>
      <c r="HO57" s="8">
        <v>720</v>
      </c>
      <c r="HP57" s="8">
        <v>339.2</v>
      </c>
      <c r="HQ57" s="8">
        <v>380.8</v>
      </c>
      <c r="HR57" s="8">
        <v>0</v>
      </c>
      <c r="HS57" s="6">
        <f>(HR57/$HN$4)*100</f>
        <v>0</v>
      </c>
      <c r="HT57" s="8">
        <v>0</v>
      </c>
      <c r="HU57" s="6">
        <f>(HT57/$HN$4)*100</f>
        <v>0</v>
      </c>
      <c r="HV57" s="8">
        <v>0</v>
      </c>
      <c r="HW57" s="6">
        <f>(HV57/$HN$4)*100</f>
        <v>0</v>
      </c>
      <c r="HX57" s="8">
        <v>0</v>
      </c>
      <c r="HY57" s="6">
        <f>(HO57/$HN$4)*100</f>
        <v>100</v>
      </c>
      <c r="HZ57" s="21">
        <f>((HO57-HX57)/$HN$4)*100</f>
        <v>100</v>
      </c>
      <c r="IA57" s="21">
        <f t="shared" ref="IA57:IA58" si="906">IF((AND(HP57=0,HR57=0)),0,(HR57+HX57)/(HP57+HR57)*100)</f>
        <v>0</v>
      </c>
      <c r="IB57" s="6">
        <f>(ID57/($HN$4*IE57))*100</f>
        <v>34.897306397306401</v>
      </c>
      <c r="IC57" s="6">
        <f>SUM(HP57:HR57,HT57,HV57)</f>
        <v>720</v>
      </c>
      <c r="ID57" s="46">
        <v>20729</v>
      </c>
      <c r="IE57" s="8">
        <v>82.5</v>
      </c>
      <c r="IF57" s="15">
        <v>77</v>
      </c>
    </row>
    <row r="58" spans="1:240" ht="14.25" x14ac:dyDescent="0.2">
      <c r="B58" s="37" t="s">
        <v>66</v>
      </c>
      <c r="C58" s="8">
        <v>744</v>
      </c>
      <c r="D58" s="8">
        <v>211.4</v>
      </c>
      <c r="E58" s="8">
        <v>532.6</v>
      </c>
      <c r="F58" s="8">
        <v>0</v>
      </c>
      <c r="G58" s="6">
        <f t="shared" si="339"/>
        <v>0</v>
      </c>
      <c r="H58" s="8">
        <v>0</v>
      </c>
      <c r="I58" s="6">
        <f t="shared" si="340"/>
        <v>0</v>
      </c>
      <c r="J58" s="6">
        <v>0</v>
      </c>
      <c r="K58" s="6">
        <f t="shared" si="894"/>
        <v>0</v>
      </c>
      <c r="L58" s="8">
        <v>0</v>
      </c>
      <c r="M58" s="6">
        <f t="shared" ref="M58" si="907">(C58/$B$4)*100</f>
        <v>100</v>
      </c>
      <c r="N58" s="8">
        <f t="shared" si="525"/>
        <v>100</v>
      </c>
      <c r="O58" s="15">
        <f t="shared" si="526"/>
        <v>0</v>
      </c>
      <c r="P58" s="6">
        <f t="shared" ref="P58" si="908">(R58/($B$4*S58))*100</f>
        <v>18.154121863799283</v>
      </c>
      <c r="Q58" s="6">
        <f t="shared" ref="Q58" si="909">SUM(D58:F58,H58,J58)</f>
        <v>744</v>
      </c>
      <c r="R58" s="85">
        <v>11143</v>
      </c>
      <c r="S58" s="8">
        <v>82.5</v>
      </c>
      <c r="V58" s="37" t="s">
        <v>66</v>
      </c>
      <c r="W58" s="41">
        <v>735</v>
      </c>
      <c r="X58" s="41">
        <v>418.6</v>
      </c>
      <c r="Y58" s="41">
        <v>316.39999999999998</v>
      </c>
      <c r="Z58" s="8">
        <v>0</v>
      </c>
      <c r="AA58" s="6">
        <f t="shared" si="830"/>
        <v>0</v>
      </c>
      <c r="AB58" s="8">
        <v>0</v>
      </c>
      <c r="AC58" s="6">
        <f t="shared" si="830"/>
        <v>0</v>
      </c>
      <c r="AD58" s="6">
        <v>9</v>
      </c>
      <c r="AE58" s="6">
        <f t="shared" si="895"/>
        <v>1.2096774193548387</v>
      </c>
      <c r="AF58" s="8">
        <v>0</v>
      </c>
      <c r="AG58" s="6">
        <f>(W58/$V$4)*100</f>
        <v>98.790322580645167</v>
      </c>
      <c r="AH58" s="6">
        <f t="shared" si="832"/>
        <v>98.790322580645167</v>
      </c>
      <c r="AI58" s="6">
        <f t="shared" si="896"/>
        <v>0</v>
      </c>
      <c r="AJ58" s="6">
        <f t="shared" ref="AJ58" si="910">(AL58/($V$4*AM58))*100</f>
        <v>39.330400782013683</v>
      </c>
      <c r="AK58" s="6">
        <f t="shared" ref="AK58" si="911">SUM(X58:Z58,AB58,AD58)</f>
        <v>744</v>
      </c>
      <c r="AL58" s="86">
        <v>24141</v>
      </c>
      <c r="AM58" s="8">
        <v>82.5</v>
      </c>
      <c r="AP58" s="37" t="s">
        <v>66</v>
      </c>
      <c r="AQ58" s="8">
        <v>715.2</v>
      </c>
      <c r="AR58" s="8">
        <v>405.7</v>
      </c>
      <c r="AS58" s="8">
        <v>309.45</v>
      </c>
      <c r="AT58" s="8">
        <v>4.8499999999999996</v>
      </c>
      <c r="AU58" s="6">
        <f t="shared" si="833"/>
        <v>0.67361111111111105</v>
      </c>
      <c r="AV58" s="8">
        <v>0</v>
      </c>
      <c r="AW58" s="8">
        <f>(AV58/$AP$4)*100</f>
        <v>0</v>
      </c>
      <c r="AX58" s="8">
        <v>0</v>
      </c>
      <c r="AY58" s="6">
        <f>(AX58/$AP$4)*100</f>
        <v>0</v>
      </c>
      <c r="AZ58" s="8">
        <v>0</v>
      </c>
      <c r="BA58" s="6">
        <f t="shared" ref="BA58" si="912">(AQ58/$AP$4)*100</f>
        <v>99.333333333333343</v>
      </c>
      <c r="BB58" s="6">
        <f t="shared" si="456"/>
        <v>99.333333333333343</v>
      </c>
      <c r="BC58" s="15">
        <f t="shared" si="457"/>
        <v>1.1813421020582144</v>
      </c>
      <c r="BD58" s="6">
        <f t="shared" si="897"/>
        <v>38.459595959595958</v>
      </c>
      <c r="BE58" s="6">
        <f t="shared" ref="BE58" si="913">SUM(AR58:AT58,AV58,AX58)</f>
        <v>720</v>
      </c>
      <c r="BF58" s="86">
        <v>22845</v>
      </c>
      <c r="BG58" s="8">
        <v>82.5</v>
      </c>
      <c r="BJ58" s="37" t="s">
        <v>66</v>
      </c>
      <c r="BK58" s="8">
        <v>725.4</v>
      </c>
      <c r="BL58" s="8">
        <v>434.7</v>
      </c>
      <c r="BM58" s="8">
        <v>290.60000000000002</v>
      </c>
      <c r="BN58" s="8">
        <v>18.7</v>
      </c>
      <c r="BO58" s="6">
        <f t="shared" si="836"/>
        <v>2.513440860215054</v>
      </c>
      <c r="BP58" s="8">
        <v>0</v>
      </c>
      <c r="BQ58" s="8">
        <f t="shared" si="836"/>
        <v>0</v>
      </c>
      <c r="BR58" s="8">
        <v>0</v>
      </c>
      <c r="BS58" s="6">
        <f>(BR58/$BJ$4)*100</f>
        <v>0</v>
      </c>
      <c r="BT58" s="8">
        <v>0</v>
      </c>
      <c r="BU58" s="6">
        <f t="shared" ref="BU58" si="914">(BK58/$BJ$4)*100</f>
        <v>97.5</v>
      </c>
      <c r="BV58" s="6">
        <f t="shared" si="898"/>
        <v>97.5</v>
      </c>
      <c r="BW58" s="18">
        <f t="shared" si="899"/>
        <v>4.1243934715483013</v>
      </c>
      <c r="BX58" s="6">
        <f t="shared" si="900"/>
        <v>39.835451287064188</v>
      </c>
      <c r="BY58" s="6">
        <f t="shared" ref="BY58" si="915">SUM(BL58:BN58,BP58,BR58)</f>
        <v>744</v>
      </c>
      <c r="BZ58" s="86">
        <v>24451</v>
      </c>
      <c r="CA58" s="8">
        <v>82.5</v>
      </c>
      <c r="CD58" s="37" t="s">
        <v>66</v>
      </c>
      <c r="CE58" s="8">
        <v>553.4</v>
      </c>
      <c r="CF58" s="8">
        <v>165.22</v>
      </c>
      <c r="CG58" s="8">
        <v>388.18</v>
      </c>
      <c r="CH58" s="8">
        <v>76.03</v>
      </c>
      <c r="CI58" s="6">
        <f t="shared" si="839"/>
        <v>10.559722222222222</v>
      </c>
      <c r="CJ58" s="8">
        <v>90.57</v>
      </c>
      <c r="CK58" s="6">
        <f t="shared" si="839"/>
        <v>12.579166666666666</v>
      </c>
      <c r="CL58" s="6">
        <v>0</v>
      </c>
      <c r="CM58" s="6">
        <f t="shared" ref="CM58" si="916">(CL58/$CD$4)*100</f>
        <v>0</v>
      </c>
      <c r="CN58" s="8">
        <v>0</v>
      </c>
      <c r="CO58" s="6">
        <f t="shared" ref="CO58" si="917">(CE58/$CD$4)*100</f>
        <v>76.861111111111114</v>
      </c>
      <c r="CP58" s="6">
        <f t="shared" si="840"/>
        <v>76.861111111111114</v>
      </c>
      <c r="CQ58" s="18">
        <f t="shared" si="901"/>
        <v>31.515025906735751</v>
      </c>
      <c r="CR58" s="6">
        <f t="shared" ref="CR58" si="918">(CT58/($CD$4*CU58))*100</f>
        <v>13.803030303030303</v>
      </c>
      <c r="CS58" s="6">
        <f t="shared" ref="CS58" si="919">SUM(CF58:CH58,CJ58,CL58)</f>
        <v>720</v>
      </c>
      <c r="CT58" s="42">
        <v>8199</v>
      </c>
      <c r="CU58" s="8">
        <v>82.5</v>
      </c>
      <c r="CX58" s="37" t="s">
        <v>66</v>
      </c>
      <c r="CY58" s="8">
        <v>738.8</v>
      </c>
      <c r="CZ58" s="8">
        <v>276.10000000000002</v>
      </c>
      <c r="DA58" s="8">
        <v>462.6</v>
      </c>
      <c r="DB58" s="8">
        <v>5.3</v>
      </c>
      <c r="DC58" s="6">
        <f t="shared" si="416"/>
        <v>0.71236559139784938</v>
      </c>
      <c r="DD58" s="8">
        <v>0</v>
      </c>
      <c r="DE58" s="6">
        <f t="shared" si="417"/>
        <v>0</v>
      </c>
      <c r="DF58" s="6">
        <v>0</v>
      </c>
      <c r="DG58" s="6">
        <f t="shared" ref="DG58" si="920">(DF58/$CX$4)*100</f>
        <v>0</v>
      </c>
      <c r="DH58" s="8">
        <v>0</v>
      </c>
      <c r="DI58" s="6">
        <f>(CY58/$V$4)*100</f>
        <v>99.3010752688172</v>
      </c>
      <c r="DJ58" s="6">
        <f t="shared" si="464"/>
        <v>99.3010752688172</v>
      </c>
      <c r="DK58" s="18">
        <f t="shared" si="465"/>
        <v>1.8834399431414355</v>
      </c>
      <c r="DL58" s="6">
        <f t="shared" ref="DL58" si="921">(DN58/($CX$4*DO58))*100</f>
        <v>23.492994460736398</v>
      </c>
      <c r="DM58" s="6">
        <f t="shared" ref="DM58" si="922">SUM(CZ58:DB58,DD58,DF58)</f>
        <v>744</v>
      </c>
      <c r="DN58" s="85">
        <v>14420</v>
      </c>
      <c r="DO58" s="8">
        <v>82.5</v>
      </c>
      <c r="DR58" s="37" t="s">
        <v>66</v>
      </c>
      <c r="DS58" s="8">
        <v>735.1</v>
      </c>
      <c r="DT58" s="8">
        <v>295.39999999999998</v>
      </c>
      <c r="DU58" s="8">
        <v>439.7</v>
      </c>
      <c r="DV58" s="8">
        <v>8.9</v>
      </c>
      <c r="DW58" s="6">
        <f t="shared" si="420"/>
        <v>1.196236559139785</v>
      </c>
      <c r="DX58" s="8">
        <v>0</v>
      </c>
      <c r="DY58" s="6">
        <f t="shared" si="421"/>
        <v>0</v>
      </c>
      <c r="DZ58" s="6">
        <v>0</v>
      </c>
      <c r="EA58" s="6">
        <f>(DZ58/$DR$4)*100</f>
        <v>0</v>
      </c>
      <c r="EB58" s="8">
        <v>0</v>
      </c>
      <c r="EC58" s="6">
        <f>(DS58/$V$4)*100</f>
        <v>98.803763440860209</v>
      </c>
      <c r="ED58" s="6">
        <f t="shared" si="467"/>
        <v>98.803763440860209</v>
      </c>
      <c r="EE58" s="18">
        <f t="shared" si="468"/>
        <v>2.9247453171212623</v>
      </c>
      <c r="EF58" s="6">
        <f t="shared" ref="EF58" si="923">(EH58/($DR$4*EI58))*100</f>
        <v>26.045943304007817</v>
      </c>
      <c r="EG58" s="6">
        <f t="shared" ref="EG58" si="924">SUM(DT58:DV58,DX58,DZ58)</f>
        <v>743.99999999999989</v>
      </c>
      <c r="EH58" s="85">
        <v>15987</v>
      </c>
      <c r="EI58" s="8">
        <v>82.5</v>
      </c>
      <c r="EL58" s="37" t="s">
        <v>66</v>
      </c>
      <c r="EM58" s="8">
        <v>653.5</v>
      </c>
      <c r="EN58" s="8">
        <v>276.92</v>
      </c>
      <c r="EO58" s="8">
        <v>376.53</v>
      </c>
      <c r="EP58" s="8">
        <v>11.23</v>
      </c>
      <c r="EQ58" s="6">
        <f t="shared" si="424"/>
        <v>1.6711309523809523</v>
      </c>
      <c r="ER58" s="8">
        <v>0</v>
      </c>
      <c r="ES58" s="6">
        <f t="shared" si="425"/>
        <v>0</v>
      </c>
      <c r="ET58" s="6">
        <v>7.32</v>
      </c>
      <c r="EU58" s="6">
        <f>(ET58/$EL$4)*100</f>
        <v>1.0892857142857144</v>
      </c>
      <c r="EV58" s="8">
        <v>0</v>
      </c>
      <c r="EW58" s="6">
        <f>(EM58/$V$4)*100</f>
        <v>87.836021505376351</v>
      </c>
      <c r="EX58" s="6">
        <f t="shared" si="469"/>
        <v>97.24702380952381</v>
      </c>
      <c r="EY58" s="18">
        <f t="shared" si="470"/>
        <v>3.8972757244490714</v>
      </c>
      <c r="EZ58" s="6">
        <f t="shared" ref="EZ58" si="925">(FB58/($EL$4*FC58))*100</f>
        <v>26.426767676767675</v>
      </c>
      <c r="FA58" s="6">
        <f t="shared" ref="FA58" si="926">SUM(EN58:EP58,ER58,ET58)</f>
        <v>672.00000000000011</v>
      </c>
      <c r="FB58" s="86">
        <v>14651</v>
      </c>
      <c r="FC58" s="8">
        <v>82.5</v>
      </c>
      <c r="FF58" s="37" t="s">
        <v>66</v>
      </c>
      <c r="FG58" s="8">
        <v>742.3</v>
      </c>
      <c r="FH58" s="8">
        <v>408.3</v>
      </c>
      <c r="FI58" s="8">
        <v>334</v>
      </c>
      <c r="FJ58" s="8">
        <v>1.7</v>
      </c>
      <c r="FK58" s="6">
        <f t="shared" si="439"/>
        <v>0.228494623655914</v>
      </c>
      <c r="FL58" s="8">
        <v>0</v>
      </c>
      <c r="FM58" s="6">
        <f t="shared" si="440"/>
        <v>0</v>
      </c>
      <c r="FN58" s="6">
        <v>0</v>
      </c>
      <c r="FO58" s="6">
        <f t="shared" ref="FO58" si="927">(FN58/$FF$4)*100</f>
        <v>0</v>
      </c>
      <c r="FP58" s="8">
        <v>0</v>
      </c>
      <c r="FQ58" s="6">
        <f>(FG58/$V$4)*100</f>
        <v>99.771505376344081</v>
      </c>
      <c r="FR58" s="6">
        <f t="shared" si="473"/>
        <v>99.771505376344081</v>
      </c>
      <c r="FS58" s="18">
        <f t="shared" si="474"/>
        <v>0.41463414634146345</v>
      </c>
      <c r="FT58" s="6">
        <f t="shared" ref="FT58" si="928">(FV58/($FF$4*FW58))*100</f>
        <v>36.244705115672858</v>
      </c>
      <c r="FU58" s="6">
        <f t="shared" ref="FU58" si="929">SUM(FH58:FJ58,FL58,FN58)</f>
        <v>744</v>
      </c>
      <c r="FV58" s="86">
        <v>22247</v>
      </c>
      <c r="FW58" s="8">
        <v>82.5</v>
      </c>
      <c r="FZ58" s="37" t="s">
        <v>66</v>
      </c>
      <c r="GA58" s="8">
        <v>711.12</v>
      </c>
      <c r="GB58" s="8">
        <v>455.1</v>
      </c>
      <c r="GC58" s="8">
        <v>256.02</v>
      </c>
      <c r="GD58" s="8">
        <v>0</v>
      </c>
      <c r="GE58" s="6">
        <f>(GD58/$FZ$4)</f>
        <v>0</v>
      </c>
      <c r="GF58" s="8">
        <v>0</v>
      </c>
      <c r="GG58" s="6">
        <f t="shared" si="902"/>
        <v>0</v>
      </c>
      <c r="GH58" s="6">
        <v>8.8800000000000008</v>
      </c>
      <c r="GI58" s="6">
        <f t="shared" ref="GI58" si="930">(GH58/$FZ$4)*100</f>
        <v>1.2333333333333334</v>
      </c>
      <c r="GJ58" s="8">
        <v>0</v>
      </c>
      <c r="GK58" s="6">
        <f>(GA58/$V$4)*100</f>
        <v>95.58064516129032</v>
      </c>
      <c r="GL58" s="6">
        <f t="shared" si="903"/>
        <v>98.766666666666666</v>
      </c>
      <c r="GM58" s="18">
        <f t="shared" si="904"/>
        <v>0</v>
      </c>
      <c r="GN58" s="6">
        <f t="shared" ref="GN58" si="931">(GP58/($FZ$4*GQ58))*100</f>
        <v>44.31818181818182</v>
      </c>
      <c r="GO58" s="6">
        <f t="shared" ref="GO58" si="932">SUM(GB58:GD58,GF58,GH58)</f>
        <v>720</v>
      </c>
      <c r="GP58" s="43">
        <v>26325</v>
      </c>
      <c r="GQ58" s="8">
        <v>82.5</v>
      </c>
      <c r="GT58" s="37" t="s">
        <v>66</v>
      </c>
      <c r="GU58" s="8">
        <v>439.2</v>
      </c>
      <c r="GV58" s="8">
        <v>161.05000000000001</v>
      </c>
      <c r="GW58" s="8">
        <v>278.12</v>
      </c>
      <c r="GX58" s="8">
        <v>202.5</v>
      </c>
      <c r="GY58" s="6">
        <f t="shared" si="559"/>
        <v>27.217741935483868</v>
      </c>
      <c r="GZ58" s="8">
        <v>102.33</v>
      </c>
      <c r="HA58" s="8">
        <f t="shared" si="560"/>
        <v>13.754032258064516</v>
      </c>
      <c r="HB58" s="8">
        <v>0</v>
      </c>
      <c r="HC58" s="6">
        <f t="shared" ref="HC58" si="933">(HB58/$GT$4)*100</f>
        <v>0</v>
      </c>
      <c r="HD58" s="8">
        <v>0</v>
      </c>
      <c r="HE58" s="6">
        <f>(GU58/$GT$4)*100</f>
        <v>59.032258064516128</v>
      </c>
      <c r="HF58" s="6">
        <f t="shared" si="396"/>
        <v>59.032258064516128</v>
      </c>
      <c r="HG58" s="6">
        <f t="shared" si="397"/>
        <v>55.700728923119236</v>
      </c>
      <c r="HH58" s="6">
        <f t="shared" si="905"/>
        <v>13.789507983056371</v>
      </c>
      <c r="HI58" s="15">
        <f t="shared" ref="HI58" si="934">SUM(GV58:GX58,GZ58,HB58)</f>
        <v>744.00000000000011</v>
      </c>
      <c r="HJ58" s="86">
        <v>8464</v>
      </c>
      <c r="HK58" s="8">
        <v>82.5</v>
      </c>
      <c r="HN58" s="37" t="s">
        <v>66</v>
      </c>
      <c r="HO58" s="8">
        <v>0</v>
      </c>
      <c r="HP58" s="8">
        <v>0</v>
      </c>
      <c r="HQ58" s="8">
        <v>0</v>
      </c>
      <c r="HR58" s="8">
        <v>720</v>
      </c>
      <c r="HS58" s="6">
        <f t="shared" ref="HS58" si="935">(HR58/$HN$4)*100</f>
        <v>100</v>
      </c>
      <c r="HT58" s="8">
        <v>0</v>
      </c>
      <c r="HU58" s="6">
        <f t="shared" ref="HU58" si="936">(HT58/$HN$4)*100</f>
        <v>0</v>
      </c>
      <c r="HV58" s="8">
        <v>0</v>
      </c>
      <c r="HW58" s="6">
        <f t="shared" ref="HW58" si="937">(HV58/$HN$4)*100</f>
        <v>0</v>
      </c>
      <c r="HX58" s="8">
        <v>0</v>
      </c>
      <c r="HY58" s="6">
        <f>(HO58/$HN$4)*100</f>
        <v>0</v>
      </c>
      <c r="HZ58" s="21">
        <f>((HO58-HX58)/$HN$4)*100</f>
        <v>0</v>
      </c>
      <c r="IA58" s="6">
        <f t="shared" si="906"/>
        <v>100</v>
      </c>
      <c r="IB58" s="6">
        <f>(ID58/($HN$4*IE58))*100</f>
        <v>0</v>
      </c>
      <c r="IC58" s="6">
        <f t="shared" ref="IC58" si="938">SUM(HP58:HR58,HT58,HV58)</f>
        <v>720</v>
      </c>
      <c r="ID58" s="8">
        <v>0</v>
      </c>
      <c r="IE58" s="8">
        <v>82.5</v>
      </c>
      <c r="IF58" s="15">
        <v>0</v>
      </c>
    </row>
    <row r="59" spans="1:240" ht="15" x14ac:dyDescent="0.25">
      <c r="B59" s="87" t="s">
        <v>39</v>
      </c>
      <c r="C59" s="29">
        <f>SUM(C57:C58)</f>
        <v>1488</v>
      </c>
      <c r="D59" s="29">
        <f t="shared" ref="D59:L59" si="939">SUM(D57:D58)</f>
        <v>370.4</v>
      </c>
      <c r="E59" s="29">
        <f t="shared" si="939"/>
        <v>1117.5999999999999</v>
      </c>
      <c r="F59" s="29">
        <f t="shared" si="939"/>
        <v>0</v>
      </c>
      <c r="G59" s="26">
        <f>(G57*S57+G58*S58)/S59</f>
        <v>0</v>
      </c>
      <c r="H59" s="29">
        <f t="shared" si="939"/>
        <v>0</v>
      </c>
      <c r="I59" s="26">
        <f>(I57*S57+I58*S58)/S59</f>
        <v>0</v>
      </c>
      <c r="J59" s="30">
        <f>SUM(J57:J58)</f>
        <v>0</v>
      </c>
      <c r="K59" s="30">
        <f>(K57*S57+K58*S58)/S59</f>
        <v>0</v>
      </c>
      <c r="L59" s="29">
        <f t="shared" si="939"/>
        <v>0</v>
      </c>
      <c r="M59" s="26">
        <f>(M57*S57+M58*S58)/S59</f>
        <v>100</v>
      </c>
      <c r="N59" s="7">
        <f>(N57*S57+N58*S58)/S59</f>
        <v>100</v>
      </c>
      <c r="O59" s="7">
        <f>(O57*S57+O58*S58)/S59</f>
        <v>0</v>
      </c>
      <c r="P59" s="7">
        <f>(P57*S57+P58*S58)/S59</f>
        <v>15.772238514173996</v>
      </c>
      <c r="Q59" s="30">
        <f>SUM(Q57:Q58)</f>
        <v>1488</v>
      </c>
      <c r="R59" s="88">
        <f>SUM(R57:R58)</f>
        <v>19362</v>
      </c>
      <c r="S59" s="29">
        <f>SUM(S57:S58)</f>
        <v>165</v>
      </c>
      <c r="V59" s="87" t="s">
        <v>39</v>
      </c>
      <c r="W59" s="29">
        <f>SUM(W57:W58)</f>
        <v>1479</v>
      </c>
      <c r="X59" s="29">
        <f t="shared" ref="X59:Z59" si="940">SUM(X57:X58)</f>
        <v>859.6</v>
      </c>
      <c r="Y59" s="29">
        <f>SUM(Y57:Y58)</f>
        <v>619.4</v>
      </c>
      <c r="Z59" s="29">
        <f t="shared" si="940"/>
        <v>0</v>
      </c>
      <c r="AA59" s="30">
        <f>(AA57*AM57+AA58*AM58)/AM59</f>
        <v>0</v>
      </c>
      <c r="AB59" s="29">
        <f t="shared" ref="AB59:AF59" si="941">SUM(AB57:AB58)</f>
        <v>0</v>
      </c>
      <c r="AC59" s="30">
        <f>(AC57*AM57+AC58*AM58)/AM59</f>
        <v>0</v>
      </c>
      <c r="AD59" s="30">
        <f>SUM(AD57:AD58)</f>
        <v>9</v>
      </c>
      <c r="AE59" s="30">
        <f>SUM(AE57:AE58)</f>
        <v>1.2096774193548387</v>
      </c>
      <c r="AF59" s="29">
        <f t="shared" si="941"/>
        <v>0</v>
      </c>
      <c r="AG59" s="26">
        <f>(AG57*AM57+AG58*AM58)/AM59</f>
        <v>99.395161290322591</v>
      </c>
      <c r="AH59" s="30">
        <f>(AH57*AM57+AH58*AM58)/AM59</f>
        <v>99.395161290322591</v>
      </c>
      <c r="AI59" s="30">
        <f>(AI57*AM57+AI58*AM58)/AM59</f>
        <v>0</v>
      </c>
      <c r="AJ59" s="7">
        <f>(AJ57*AM57+AJ58*AM58)/AM59</f>
        <v>40.300586510263926</v>
      </c>
      <c r="AK59" s="30">
        <f>SUM(AK57:AK58)</f>
        <v>1488</v>
      </c>
      <c r="AL59" s="33">
        <f>SUM(AL57:AL58)</f>
        <v>49473</v>
      </c>
      <c r="AM59" s="29">
        <f>SUM(AM57:AM58)</f>
        <v>165</v>
      </c>
      <c r="AP59" s="87" t="s">
        <v>39</v>
      </c>
      <c r="AQ59" s="29">
        <f>SUM(AQ57:AQ58)</f>
        <v>1435.2</v>
      </c>
      <c r="AR59" s="29">
        <f t="shared" ref="AR59:AT59" si="942">SUM(AR57:AR58)</f>
        <v>905.57999999999993</v>
      </c>
      <c r="AS59" s="29">
        <f>SUM(AS57:AS58)</f>
        <v>529.56999999999994</v>
      </c>
      <c r="AT59" s="29">
        <f t="shared" si="942"/>
        <v>4.8499999999999996</v>
      </c>
      <c r="AU59" s="30">
        <f>(AU57*BG57+AU58*BG58)/BG59</f>
        <v>0.33680555555555552</v>
      </c>
      <c r="AV59" s="29">
        <f t="shared" ref="AV59:AZ59" si="943">SUM(AV57:AV58)</f>
        <v>0</v>
      </c>
      <c r="AW59" s="30">
        <f>(AW57*BG57+AW58*BG58)/BG59</f>
        <v>0</v>
      </c>
      <c r="AX59" s="30">
        <f>SUM(AX57:AX58)</f>
        <v>0</v>
      </c>
      <c r="AY59" s="30">
        <f>(AY57*BG57+AY58*BG58)/BG59</f>
        <v>0</v>
      </c>
      <c r="AZ59" s="29">
        <f t="shared" si="943"/>
        <v>0</v>
      </c>
      <c r="BA59" s="26">
        <f>(BA57*BG57+BA58*BG58)/BG59</f>
        <v>99.666666666666671</v>
      </c>
      <c r="BB59" s="30">
        <f>(BB57*BG57+BB58*BG58)/BG59</f>
        <v>99.666666666666671</v>
      </c>
      <c r="BC59" s="30">
        <f>(BC57*BG57+BC58*BG58)/BG59</f>
        <v>0.59067105102910722</v>
      </c>
      <c r="BD59" s="7">
        <f>(BD57*BG57+BD58*BG58)/BG59</f>
        <v>43.636363636363633</v>
      </c>
      <c r="BE59" s="30">
        <f>SUM(BE57:BE58)</f>
        <v>1440</v>
      </c>
      <c r="BF59" s="89">
        <f>SUM(BF57:BF58)</f>
        <v>51840</v>
      </c>
      <c r="BG59" s="29">
        <f>SUM(BG57:BG58)</f>
        <v>165</v>
      </c>
      <c r="BJ59" s="87" t="s">
        <v>39</v>
      </c>
      <c r="BK59" s="29">
        <f>SUM(BK57:BK58)</f>
        <v>1469.4</v>
      </c>
      <c r="BL59" s="29">
        <f t="shared" ref="BL59:BN59" si="944">SUM(BL57:BL58)</f>
        <v>854.9</v>
      </c>
      <c r="BM59" s="29">
        <f>SUM(BM57:BM58)</f>
        <v>614.5</v>
      </c>
      <c r="BN59" s="29">
        <f t="shared" si="944"/>
        <v>18.7</v>
      </c>
      <c r="BO59" s="30">
        <f>(BO57*CA57+BO58*CA58)/CA59</f>
        <v>1.256720430107527</v>
      </c>
      <c r="BP59" s="29">
        <f t="shared" ref="BP59:BT59" si="945">SUM(BP57:BP58)</f>
        <v>0</v>
      </c>
      <c r="BQ59" s="30">
        <f>(BQ57*CA57+BQ58*CA58)/CA59</f>
        <v>0</v>
      </c>
      <c r="BR59" s="30">
        <f>SUM(BR57:BR58)</f>
        <v>0</v>
      </c>
      <c r="BS59" s="30">
        <f>(BS57*CA57+BS58*CA58)/CA59</f>
        <v>0</v>
      </c>
      <c r="BT59" s="29">
        <f t="shared" si="945"/>
        <v>0</v>
      </c>
      <c r="BU59" s="26">
        <f>(BU57*CA57+BU58*CA58)/CA59</f>
        <v>98.75</v>
      </c>
      <c r="BV59" s="30">
        <f>(BV57*CA57+BV58*CA58)/CA59</f>
        <v>98.75</v>
      </c>
      <c r="BW59" s="30">
        <f>(BW57*CA57+BW58*CA58)/CA59</f>
        <v>2.0621967357741506</v>
      </c>
      <c r="BX59" s="7">
        <f>(BX57*CA57+BX58*CA58)/CA59</f>
        <v>39.935646790485499</v>
      </c>
      <c r="BY59" s="30">
        <f>SUM(BY57:BY58)</f>
        <v>1488.1</v>
      </c>
      <c r="BZ59" s="89">
        <f>SUM(BZ57:BZ58)</f>
        <v>49025</v>
      </c>
      <c r="CA59" s="29">
        <f>SUM(CA57:CA58)</f>
        <v>165</v>
      </c>
      <c r="CD59" s="87" t="s">
        <v>39</v>
      </c>
      <c r="CE59" s="29">
        <f>SUM(CE57:CE58)</f>
        <v>1046.0999999999999</v>
      </c>
      <c r="CF59" s="29">
        <f t="shared" ref="CF59:CH59" si="946">SUM(CF57:CF58)</f>
        <v>271.5</v>
      </c>
      <c r="CG59" s="29">
        <f>SUM(CG57:CG58)</f>
        <v>774.55</v>
      </c>
      <c r="CH59" s="29">
        <f t="shared" si="946"/>
        <v>152.03</v>
      </c>
      <c r="CI59" s="30">
        <f>(CI57*CU57+CI58*CU58)/CU59</f>
        <v>10.557638888888889</v>
      </c>
      <c r="CJ59" s="29">
        <f t="shared" ref="CJ59:CN59" si="947">SUM(CJ57:CJ58)</f>
        <v>241.92</v>
      </c>
      <c r="CK59" s="30">
        <f>(CK57*CU57+CK58*CU58)/CU59</f>
        <v>16.8</v>
      </c>
      <c r="CL59" s="30">
        <f>SUM(CL57:CL58)</f>
        <v>0</v>
      </c>
      <c r="CM59" s="26">
        <f>(CM57*CU57+CM58*CU58)/CU59</f>
        <v>0</v>
      </c>
      <c r="CN59" s="29">
        <f t="shared" si="947"/>
        <v>0</v>
      </c>
      <c r="CO59" s="26">
        <f>(CO57*CU57+CO58*CU58)/CU59</f>
        <v>72.645833333333329</v>
      </c>
      <c r="CP59" s="30">
        <f>(CP57*CU57+CP58*CU58)/CU59</f>
        <v>72.645833333333329</v>
      </c>
      <c r="CQ59" s="30">
        <f>(CQ57*CU57+CQ58*CU58)/CU59</f>
        <v>36.604561450185955</v>
      </c>
      <c r="CR59" s="7">
        <f>(CR57*CU57+CR58*CU58)/CU59</f>
        <v>11.494107744107744</v>
      </c>
      <c r="CS59" s="30">
        <f>SUM(CS57:CS58)</f>
        <v>1440</v>
      </c>
      <c r="CT59" s="33">
        <f>SUM(CT57:CT58)</f>
        <v>13655</v>
      </c>
      <c r="CU59" s="29">
        <f>SUM(CU57:CU58)</f>
        <v>165</v>
      </c>
      <c r="CX59" s="87" t="s">
        <v>39</v>
      </c>
      <c r="CY59" s="29">
        <f>SUM(CY57:CY58)</f>
        <v>1482.8</v>
      </c>
      <c r="CZ59" s="29">
        <f t="shared" ref="CZ59:DB59" si="948">SUM(CZ57:CZ58)</f>
        <v>609</v>
      </c>
      <c r="DA59" s="29">
        <f>SUM(DA57:DA58)</f>
        <v>873.7</v>
      </c>
      <c r="DB59" s="29">
        <f t="shared" si="948"/>
        <v>5.3</v>
      </c>
      <c r="DC59" s="30">
        <f>(DC57*DO57+DC58*DO58)/DO59</f>
        <v>0.35618279569892469</v>
      </c>
      <c r="DD59" s="29">
        <f t="shared" ref="DD59:DH59" si="949">SUM(DD57:DD58)</f>
        <v>0</v>
      </c>
      <c r="DE59" s="30">
        <f>(DE57*DO57+DE58*DO58)/DO59</f>
        <v>0</v>
      </c>
      <c r="DF59" s="30">
        <f>SUM(DF57:DF58)</f>
        <v>0</v>
      </c>
      <c r="DG59" s="30">
        <f>(DG57*DO57+DG58*DO58)/DO59</f>
        <v>0</v>
      </c>
      <c r="DH59" s="29">
        <f t="shared" si="949"/>
        <v>0</v>
      </c>
      <c r="DI59" s="26">
        <f>(DI57*DO57+DI58*DO58)/DO59</f>
        <v>99.650537634408593</v>
      </c>
      <c r="DJ59" s="30">
        <f>(DJ57*DO57+DJ58*DO58)/DO59</f>
        <v>99.650537634408593</v>
      </c>
      <c r="DK59" s="30">
        <f>(DK57*DO57+DK58*DO58)/DO59</f>
        <v>0.94171997157071774</v>
      </c>
      <c r="DL59" s="7">
        <f>(DL57*DO57+DL58*DO58)/DO59</f>
        <v>25.804822417725646</v>
      </c>
      <c r="DM59" s="30">
        <f>SUM(DM57:DM58)</f>
        <v>1488</v>
      </c>
      <c r="DN59" s="88">
        <f>SUM(DN57:DN58)</f>
        <v>31678</v>
      </c>
      <c r="DO59" s="29">
        <f>SUM(DO57:DO58)</f>
        <v>165</v>
      </c>
      <c r="DR59" s="87" t="s">
        <v>39</v>
      </c>
      <c r="DS59" s="29">
        <f>SUM(DS57:DS58)</f>
        <v>1479.1</v>
      </c>
      <c r="DT59" s="29">
        <f t="shared" ref="DT59:DV59" si="950">SUM(DT57:DT58)</f>
        <v>663.4</v>
      </c>
      <c r="DU59" s="29">
        <f>SUM(DU57:DU58)</f>
        <v>815.7</v>
      </c>
      <c r="DV59" s="29">
        <f t="shared" si="950"/>
        <v>8.9</v>
      </c>
      <c r="DW59" s="30">
        <f>(DW57*EI57+DW58*EI58)/EI59</f>
        <v>0.5981182795698925</v>
      </c>
      <c r="DX59" s="29">
        <f t="shared" ref="DX59:EB59" si="951">SUM(DX57:DX58)</f>
        <v>0</v>
      </c>
      <c r="DY59" s="30">
        <f>(DY57*EI57+DY58*EI58)/EI59</f>
        <v>0</v>
      </c>
      <c r="DZ59" s="30">
        <f>SUM(DZ57:DZ58)</f>
        <v>0</v>
      </c>
      <c r="EA59" s="30">
        <f>(EA57*EI57+EA58*EI58)/EI59</f>
        <v>0</v>
      </c>
      <c r="EB59" s="29">
        <f t="shared" si="951"/>
        <v>0</v>
      </c>
      <c r="EC59" s="26">
        <f>(EC57*EI57+EC58*EI58)/EI59</f>
        <v>99.401881720430097</v>
      </c>
      <c r="ED59" s="30">
        <f>(ED57*EI57+ED58*EI58)/EI59</f>
        <v>99.401881720430097</v>
      </c>
      <c r="EE59" s="30">
        <f>(EE57*EI57+EE58*EI58)/EI59</f>
        <v>1.4623726585606311</v>
      </c>
      <c r="EF59" s="7">
        <f>(EF57*EI57+EF58*EI58)/EI59</f>
        <v>29.924242424242426</v>
      </c>
      <c r="EG59" s="30">
        <f>SUM(EG57:EG58)</f>
        <v>1488</v>
      </c>
      <c r="EH59" s="88">
        <f>SUM(EH57:EH58)</f>
        <v>36735</v>
      </c>
      <c r="EI59" s="29">
        <f>SUM(EI57:EI58)</f>
        <v>165</v>
      </c>
      <c r="EL59" s="87" t="s">
        <v>39</v>
      </c>
      <c r="EM59" s="29">
        <f>SUM(EM57:EM58)</f>
        <v>1324.4</v>
      </c>
      <c r="EN59" s="29">
        <f t="shared" ref="EN59:EP59" si="952">SUM(EN57:EN58)</f>
        <v>561.90000000000009</v>
      </c>
      <c r="EO59" s="29">
        <f>SUM(EO57:EO58)</f>
        <v>762.4</v>
      </c>
      <c r="EP59" s="29">
        <f t="shared" si="952"/>
        <v>12.38</v>
      </c>
      <c r="EQ59" s="30">
        <f>(EQ57*FC57+EQ58*FC58)/FC59</f>
        <v>0.92113095238095222</v>
      </c>
      <c r="ER59" s="29">
        <f t="shared" ref="ER59:EV59" si="953">SUM(ER57:ER58)</f>
        <v>0</v>
      </c>
      <c r="ES59" s="30">
        <f>(ES57*FC57+ES58*FC58)/FC59</f>
        <v>0</v>
      </c>
      <c r="ET59" s="30">
        <f>SUM(ET57:ET58)</f>
        <v>7.32</v>
      </c>
      <c r="EU59" s="30">
        <f>(EU57*FC57+EU58*FC58)/FC59</f>
        <v>0.54464285714285721</v>
      </c>
      <c r="EV59" s="29">
        <f t="shared" si="953"/>
        <v>0</v>
      </c>
      <c r="EW59" s="26">
        <f>(EW57*FC57+EW58*FC58)/FC59</f>
        <v>89.005376344086017</v>
      </c>
      <c r="EX59" s="30">
        <f>(EX57*FC57+EX58*FC58)/FC59</f>
        <v>98.541666666666671</v>
      </c>
      <c r="EY59" s="30">
        <f>(EY57*FC57+EY58*FC58)/FC59</f>
        <v>2.1495954689068131</v>
      </c>
      <c r="EZ59" s="7">
        <f>(EZ57*FC57+EZ58*FC58)/FC59</f>
        <v>26.945346320346321</v>
      </c>
      <c r="FA59" s="30">
        <f>SUM(FA57:FA58)</f>
        <v>1344</v>
      </c>
      <c r="FB59" s="33">
        <f>SUM(FB57:FB58)</f>
        <v>29877</v>
      </c>
      <c r="FC59" s="29">
        <f>SUM(FC57:FC58)</f>
        <v>165</v>
      </c>
      <c r="FF59" s="87" t="s">
        <v>39</v>
      </c>
      <c r="FG59" s="29">
        <f>SUM(FG57:FG58)</f>
        <v>1480.4</v>
      </c>
      <c r="FH59" s="29">
        <f t="shared" ref="FH59:FJ59" si="954">SUM(FH57:FH58)</f>
        <v>860.90000000000009</v>
      </c>
      <c r="FI59" s="29">
        <f>SUM(FI57:FI58)</f>
        <v>619.5</v>
      </c>
      <c r="FJ59" s="29">
        <f t="shared" si="954"/>
        <v>7.6000000000000005</v>
      </c>
      <c r="FK59" s="30">
        <f>(FK57*FW57+FK58*FW58)/FW59</f>
        <v>0.510752688172043</v>
      </c>
      <c r="FL59" s="29">
        <f t="shared" ref="FL59:FP59" si="955">SUM(FL57:FL58)</f>
        <v>0</v>
      </c>
      <c r="FM59" s="30">
        <f>(FM57*FW57+FM58*FW58)/FW59</f>
        <v>0</v>
      </c>
      <c r="FN59" s="30">
        <f>SUM(FN57:FN58)</f>
        <v>0</v>
      </c>
      <c r="FO59" s="30">
        <f>(FO57*FW57+FO58*FW58)/FW59</f>
        <v>0</v>
      </c>
      <c r="FP59" s="29">
        <f t="shared" si="955"/>
        <v>0</v>
      </c>
      <c r="FQ59" s="26">
        <f>(FQ57*FW57+FQ58*FW58)/FW59</f>
        <v>99.489247311827967</v>
      </c>
      <c r="FR59" s="30">
        <f>(FR57*FW57+FR58*FW58)/FW59</f>
        <v>99.489247311827967</v>
      </c>
      <c r="FS59" s="30">
        <f>(FS57*FW57+FS58*FW58)/FW59</f>
        <v>0.85071947229832168</v>
      </c>
      <c r="FT59" s="7">
        <f>(FT57*FW57+FT58*FW58)/FW59</f>
        <v>37.932551319648091</v>
      </c>
      <c r="FU59" s="30">
        <f>SUM(FU57:FU58)</f>
        <v>1488</v>
      </c>
      <c r="FV59" s="89">
        <f>SUM(FV57:FV58)</f>
        <v>46566</v>
      </c>
      <c r="FW59" s="29">
        <f>SUM(FW57:FW58)</f>
        <v>165</v>
      </c>
      <c r="FZ59" s="87" t="s">
        <v>39</v>
      </c>
      <c r="GA59" s="29">
        <f>SUM(GA57:GA58)</f>
        <v>1418.7</v>
      </c>
      <c r="GB59" s="29">
        <f t="shared" ref="GB59:GD59" si="956">SUM(GB57:GB58)</f>
        <v>920</v>
      </c>
      <c r="GC59" s="30">
        <f>SUM(GC57:GC58)</f>
        <v>498.7</v>
      </c>
      <c r="GD59" s="29">
        <f t="shared" si="956"/>
        <v>0</v>
      </c>
      <c r="GE59" s="79">
        <f>(GE57*GQ57+GE58*GQ58)/GQ59</f>
        <v>0</v>
      </c>
      <c r="GF59" s="29">
        <f t="shared" ref="GF59:GJ59" si="957">SUM(GF57:GF58)</f>
        <v>0</v>
      </c>
      <c r="GG59" s="30">
        <f>(GG57*GQ57+GG58*GQ58)/GQ59</f>
        <v>0</v>
      </c>
      <c r="GH59" s="30">
        <f>SUM(GH57:GH58)</f>
        <v>21.3</v>
      </c>
      <c r="GI59" s="26">
        <f>(GI57*GQ57+GI58*GQ58)/GQ59</f>
        <v>1.4791666666666667</v>
      </c>
      <c r="GJ59" s="29">
        <f t="shared" si="957"/>
        <v>0</v>
      </c>
      <c r="GK59" s="26">
        <f>(GK57*GQ57+GK58*GQ58)/GQ59</f>
        <v>95.342741935483872</v>
      </c>
      <c r="GL59" s="30">
        <f>(GL57*GQ57+GL58*GQ58)/GQ59</f>
        <v>98.520833333333329</v>
      </c>
      <c r="GM59" s="30">
        <f>(GM57*GQ57+GM58*GQ58)/GQ59</f>
        <v>0</v>
      </c>
      <c r="GN59" s="7">
        <f>(GN57*GQ57+GN58*GQ58)/GQ59</f>
        <v>45.078282828282831</v>
      </c>
      <c r="GO59" s="30">
        <f>SUM(GO57:GO58)</f>
        <v>1440</v>
      </c>
      <c r="GP59" s="45">
        <f>SUM(GP57:GP58)</f>
        <v>53553</v>
      </c>
      <c r="GQ59" s="29">
        <f>SUM(GQ57:GQ58)</f>
        <v>165</v>
      </c>
      <c r="GT59" s="87" t="s">
        <v>39</v>
      </c>
      <c r="GU59" s="29">
        <f>SUM(GU57:GU58)</f>
        <v>1102.7</v>
      </c>
      <c r="GV59" s="29">
        <f t="shared" ref="GV59:GX59" si="958">SUM(GV57:GV58)</f>
        <v>394.92</v>
      </c>
      <c r="GW59" s="29">
        <f>SUM(GW57:GW58)</f>
        <v>707.79</v>
      </c>
      <c r="GX59" s="29">
        <f t="shared" si="958"/>
        <v>202.5</v>
      </c>
      <c r="GY59" s="30">
        <f>(GY57*HK57+GY58*HK58)/HK59</f>
        <v>13.608870967741934</v>
      </c>
      <c r="GZ59" s="29">
        <f t="shared" ref="GZ59:HD59" si="959">SUM(GZ57:GZ58)</f>
        <v>182.8</v>
      </c>
      <c r="HA59" s="30">
        <f>(HA57*HK57+HA58*HK58)/HK59</f>
        <v>12.28494623655914</v>
      </c>
      <c r="HB59" s="30">
        <f>SUM(HB57:HB58)</f>
        <v>0</v>
      </c>
      <c r="HC59" s="26">
        <f>(HC57*HK57+HC58*HK58)/HK59</f>
        <v>0</v>
      </c>
      <c r="HD59" s="29">
        <f t="shared" si="959"/>
        <v>0</v>
      </c>
      <c r="HE59" s="26">
        <f>(HE57*HK57+HE58*HK58)/HK59</f>
        <v>74.106182795698928</v>
      </c>
      <c r="HF59" s="30">
        <f>(HF57*HK57+HF58*HK58)/HK59</f>
        <v>74.106182795698928</v>
      </c>
      <c r="HG59" s="30">
        <f>(HG57*HK57+HG58*HK58)/HK59</f>
        <v>27.850364461559618</v>
      </c>
      <c r="HH59" s="7">
        <f>(HH57*HK57+HH58*HK58)/HK59</f>
        <v>17.250733137829911</v>
      </c>
      <c r="HI59" s="30">
        <f>SUM(HI57:HI58)</f>
        <v>1488</v>
      </c>
      <c r="HJ59" s="89">
        <f>SUM(HJ57:HJ58)</f>
        <v>21177</v>
      </c>
      <c r="HK59" s="29">
        <f>SUM(HK57:HK58)</f>
        <v>165</v>
      </c>
      <c r="HN59" s="87" t="s">
        <v>39</v>
      </c>
      <c r="HO59" s="90">
        <f>SUM(HO57:HO58)</f>
        <v>720</v>
      </c>
      <c r="HP59" s="90">
        <f t="shared" ref="HP59:HR59" si="960">SUM(HP57:HP58)</f>
        <v>339.2</v>
      </c>
      <c r="HQ59" s="90">
        <f t="shared" si="960"/>
        <v>380.8</v>
      </c>
      <c r="HR59" s="90">
        <f t="shared" si="960"/>
        <v>720</v>
      </c>
      <c r="HS59" s="26">
        <f>(HS57*IE57+HS58*IE58)/IE59</f>
        <v>50</v>
      </c>
      <c r="HT59" s="29">
        <f>SUM(HT57:HT58)</f>
        <v>0</v>
      </c>
      <c r="HU59" s="26">
        <f>(HU57*IE57+HU58*IE58)/IE59</f>
        <v>0</v>
      </c>
      <c r="HV59" s="29">
        <f>SUM(HV57:HV58)</f>
        <v>0</v>
      </c>
      <c r="HW59" s="26">
        <f>(HW57*IE57+HW58*IE58)/IE59</f>
        <v>0</v>
      </c>
      <c r="HX59" s="29">
        <f>SUM(HX57:HX58)</f>
        <v>0</v>
      </c>
      <c r="HY59" s="30">
        <f>(HY57*IE57+HY58*IE58)/IE59</f>
        <v>50</v>
      </c>
      <c r="HZ59" s="193">
        <f>(HZ57*IE57+HZ58*IE58)/IE59</f>
        <v>50</v>
      </c>
      <c r="IA59" s="193">
        <f>(IA57*IE57+IA58*IE58)/IE59</f>
        <v>50</v>
      </c>
      <c r="IB59" s="193">
        <f>(IB57*IE57+IB58*IE58)/IE59</f>
        <v>17.448653198653201</v>
      </c>
      <c r="IC59" s="30">
        <f>SUM(IC57:IC58)</f>
        <v>1440</v>
      </c>
      <c r="ID59" s="47">
        <f>SUM(ID57:ID58)</f>
        <v>20729</v>
      </c>
      <c r="IE59" s="29">
        <f>SUM(IE57:IE58)</f>
        <v>165</v>
      </c>
      <c r="IF59" s="15"/>
    </row>
    <row r="60" spans="1:240" ht="15" x14ac:dyDescent="0.25">
      <c r="A60" s="74" t="s">
        <v>67</v>
      </c>
      <c r="B60" s="37" t="s">
        <v>68</v>
      </c>
      <c r="C60" s="8">
        <f>1456/2</f>
        <v>728</v>
      </c>
      <c r="D60" s="8">
        <f>626/2</f>
        <v>313</v>
      </c>
      <c r="E60" s="8">
        <f>830/2</f>
        <v>415</v>
      </c>
      <c r="F60" s="8">
        <v>0</v>
      </c>
      <c r="G60" s="6">
        <f t="shared" si="339"/>
        <v>0</v>
      </c>
      <c r="H60" s="8">
        <v>0</v>
      </c>
      <c r="I60" s="6">
        <f t="shared" si="340"/>
        <v>0</v>
      </c>
      <c r="J60" s="6">
        <f>32/2</f>
        <v>16</v>
      </c>
      <c r="K60" s="6">
        <f t="shared" ref="K60:K63" si="961">(J60/$B$4)*100</f>
        <v>2.1505376344086025</v>
      </c>
      <c r="L60" s="8">
        <v>0</v>
      </c>
      <c r="M60" s="6">
        <f>(C60/$B$4)*100</f>
        <v>97.849462365591393</v>
      </c>
      <c r="N60" s="6">
        <f t="shared" si="525"/>
        <v>97.849462365591393</v>
      </c>
      <c r="O60" s="8">
        <f t="shared" si="526"/>
        <v>0</v>
      </c>
      <c r="P60" s="6">
        <f>(R60/($B$4*S60))*100</f>
        <v>33.805718475073313</v>
      </c>
      <c r="Q60" s="6">
        <f>SUM(D60:F60,H60,J60)</f>
        <v>744</v>
      </c>
      <c r="R60" s="85">
        <v>13833.3</v>
      </c>
      <c r="S60" s="8">
        <v>55</v>
      </c>
      <c r="U60" s="74" t="s">
        <v>67</v>
      </c>
      <c r="V60" s="37" t="s">
        <v>68</v>
      </c>
      <c r="W60" s="8">
        <f>1488/2</f>
        <v>744</v>
      </c>
      <c r="X60" s="8">
        <f>871.5/2</f>
        <v>435.75</v>
      </c>
      <c r="Y60" s="8">
        <f>616.5/2</f>
        <v>308.25</v>
      </c>
      <c r="Z60" s="8">
        <v>0</v>
      </c>
      <c r="AA60" s="6">
        <f t="shared" si="830"/>
        <v>0</v>
      </c>
      <c r="AB60" s="8">
        <f>0/2</f>
        <v>0</v>
      </c>
      <c r="AC60" s="6">
        <f t="shared" si="830"/>
        <v>0</v>
      </c>
      <c r="AD60" s="6">
        <v>0</v>
      </c>
      <c r="AE60" s="6">
        <f t="shared" ref="AE60:AE63" si="962">(AD60/$V$4)*100</f>
        <v>0</v>
      </c>
      <c r="AF60" s="8">
        <v>0</v>
      </c>
      <c r="AG60" s="6">
        <f>(W60/$V$4)*100</f>
        <v>100</v>
      </c>
      <c r="AH60" s="6">
        <f t="shared" ref="AH60:AH63" si="963">((W60-AF60)/$V$4)*100</f>
        <v>100</v>
      </c>
      <c r="AI60" s="18">
        <f>IF((AND(X60=0,Z60=0)),0,(Z60+AF60)/(X60+Z60)*100)</f>
        <v>0</v>
      </c>
      <c r="AJ60" s="6">
        <f>(AL60/($V$4*AM60))*100</f>
        <v>43.959433040078203</v>
      </c>
      <c r="AK60" s="6">
        <f>SUM(X60:Z60,AB60,AD60)</f>
        <v>744</v>
      </c>
      <c r="AL60" s="43">
        <v>17988.2</v>
      </c>
      <c r="AM60" s="8">
        <v>55</v>
      </c>
      <c r="AO60" s="74" t="s">
        <v>67</v>
      </c>
      <c r="AP60" s="37" t="s">
        <v>68</v>
      </c>
      <c r="AQ60" s="8">
        <f>1440/2</f>
        <v>720</v>
      </c>
      <c r="AR60" s="8">
        <f>818.4/2</f>
        <v>409.2</v>
      </c>
      <c r="AS60" s="8">
        <f>621.6/2</f>
        <v>310.8</v>
      </c>
      <c r="AT60" s="8">
        <v>0</v>
      </c>
      <c r="AU60" s="6">
        <f t="shared" si="833"/>
        <v>0</v>
      </c>
      <c r="AV60" s="8">
        <v>0</v>
      </c>
      <c r="AW60" s="8">
        <f>(AV60/$AP$4)*100</f>
        <v>0</v>
      </c>
      <c r="AX60" s="8">
        <v>0</v>
      </c>
      <c r="AY60" s="6">
        <f>(AX60/$AP$4)*100</f>
        <v>0</v>
      </c>
      <c r="AZ60" s="8">
        <v>0</v>
      </c>
      <c r="BA60" s="6">
        <f>(AQ60/$AP$4)*100</f>
        <v>100</v>
      </c>
      <c r="BB60" s="6">
        <f t="shared" ref="BB60:BB63" si="964">((AQ60-AZ60)/$AP$4)*100</f>
        <v>100</v>
      </c>
      <c r="BC60" s="15">
        <f t="shared" ref="BC60:BC63" si="965">IF((AND(AR60=0,AT60=0)),0,(AT60+AZ60)/(AR60+AT60)*100)</f>
        <v>0</v>
      </c>
      <c r="BD60" s="6">
        <f t="shared" ref="BD60:BD63" si="966">(BF60/($AP$4*BG60))*100</f>
        <v>43.480303030303027</v>
      </c>
      <c r="BE60" s="6">
        <f>SUM(AR60:AT60,AV60,AX60)</f>
        <v>720</v>
      </c>
      <c r="BF60" s="85">
        <v>17218.2</v>
      </c>
      <c r="BG60" s="8">
        <v>55</v>
      </c>
      <c r="BI60" s="74" t="s">
        <v>67</v>
      </c>
      <c r="BJ60" s="37" t="s">
        <v>68</v>
      </c>
      <c r="BK60" s="8">
        <f>1488/2</f>
        <v>744</v>
      </c>
      <c r="BL60" s="8">
        <f>815.9/2</f>
        <v>407.95</v>
      </c>
      <c r="BM60" s="8">
        <f>672.1/2</f>
        <v>336.05</v>
      </c>
      <c r="BN60" s="8">
        <v>0</v>
      </c>
      <c r="BO60" s="6">
        <f t="shared" si="836"/>
        <v>0</v>
      </c>
      <c r="BP60" s="8">
        <v>0</v>
      </c>
      <c r="BQ60" s="6">
        <f t="shared" si="836"/>
        <v>0</v>
      </c>
      <c r="BR60" s="6">
        <v>0</v>
      </c>
      <c r="BS60" s="6">
        <f>(BR60/$BJ$4)*100</f>
        <v>0</v>
      </c>
      <c r="BT60" s="8">
        <v>0</v>
      </c>
      <c r="BU60" s="6">
        <f t="shared" ref="BU60:BU63" si="967">(BK60/$BJ$4)*100</f>
        <v>100</v>
      </c>
      <c r="BV60" s="6">
        <f t="shared" si="898"/>
        <v>100</v>
      </c>
      <c r="BW60" s="18">
        <f t="shared" si="899"/>
        <v>0</v>
      </c>
      <c r="BX60" s="6">
        <f t="shared" ref="BX60:BX63" si="968">(BZ60/($BJ$4*CA60))*100</f>
        <v>43.528347996089927</v>
      </c>
      <c r="BY60" s="6">
        <f>SUM(BL60:BN60,BP60,BR60)</f>
        <v>744</v>
      </c>
      <c r="BZ60" s="85">
        <v>17811.8</v>
      </c>
      <c r="CA60" s="8">
        <v>55</v>
      </c>
      <c r="CC60" s="74" t="s">
        <v>67</v>
      </c>
      <c r="CD60" s="37" t="s">
        <v>68</v>
      </c>
      <c r="CE60" s="8">
        <f>1440/2</f>
        <v>720</v>
      </c>
      <c r="CF60" s="8">
        <f>608.1/2</f>
        <v>304.05</v>
      </c>
      <c r="CG60" s="8">
        <f>831.9/2</f>
        <v>415.95</v>
      </c>
      <c r="CH60" s="8">
        <v>0</v>
      </c>
      <c r="CI60" s="6">
        <f t="shared" si="839"/>
        <v>0</v>
      </c>
      <c r="CJ60" s="8">
        <v>0</v>
      </c>
      <c r="CK60" s="8">
        <f t="shared" si="839"/>
        <v>0</v>
      </c>
      <c r="CL60" s="6">
        <v>0</v>
      </c>
      <c r="CM60" s="6">
        <f>(CL60/$CD$4)*100</f>
        <v>0</v>
      </c>
      <c r="CN60" s="8">
        <v>0</v>
      </c>
      <c r="CO60" s="6">
        <f>(CE60/$CD$4)*100</f>
        <v>100</v>
      </c>
      <c r="CP60" s="6">
        <f t="shared" si="840"/>
        <v>100</v>
      </c>
      <c r="CQ60" s="18">
        <f>IF((AND(CF60=0,CH60=0)),0,(CH60+CN60)/(CF60+CH60)*100)</f>
        <v>0</v>
      </c>
      <c r="CR60" s="6">
        <f t="shared" ref="CR60:CR63" si="969">(CT60/($CD$4*CU60))*100</f>
        <v>33.005555555555553</v>
      </c>
      <c r="CS60" s="6">
        <f>SUM(CF60:CH60,CJ60,CL60)</f>
        <v>720</v>
      </c>
      <c r="CT60" s="46">
        <v>13070.2</v>
      </c>
      <c r="CU60" s="8">
        <v>55</v>
      </c>
      <c r="CW60" s="74" t="s">
        <v>67</v>
      </c>
      <c r="CX60" s="37" t="s">
        <v>68</v>
      </c>
      <c r="CY60" s="8">
        <f>1488/2</f>
        <v>744</v>
      </c>
      <c r="CZ60" s="8">
        <f>773.5/2</f>
        <v>386.75</v>
      </c>
      <c r="DA60" s="8">
        <f>714.5/2</f>
        <v>357.25</v>
      </c>
      <c r="DB60" s="8">
        <v>0</v>
      </c>
      <c r="DC60" s="6">
        <f t="shared" si="416"/>
        <v>0</v>
      </c>
      <c r="DD60" s="8">
        <v>0</v>
      </c>
      <c r="DE60" s="6">
        <f t="shared" si="417"/>
        <v>0</v>
      </c>
      <c r="DF60" s="6">
        <v>0</v>
      </c>
      <c r="DG60" s="6">
        <f>(DF60/$CX$4)*100</f>
        <v>0</v>
      </c>
      <c r="DH60" s="8">
        <v>0</v>
      </c>
      <c r="DI60" s="6">
        <f>(CY60/$V$4)*100</f>
        <v>100</v>
      </c>
      <c r="DJ60" s="6">
        <f t="shared" si="464"/>
        <v>100</v>
      </c>
      <c r="DK60" s="18">
        <f t="shared" si="465"/>
        <v>0</v>
      </c>
      <c r="DL60" s="6">
        <f>(DN60/($CX$4*DO60))*100</f>
        <v>41.575757575757571</v>
      </c>
      <c r="DM60" s="6">
        <f>SUM(CZ60:DB60,DD60,DF60)</f>
        <v>744</v>
      </c>
      <c r="DN60" s="85">
        <v>17012.8</v>
      </c>
      <c r="DO60" s="8">
        <v>55</v>
      </c>
      <c r="DQ60" s="74" t="s">
        <v>67</v>
      </c>
      <c r="DR60" s="37" t="s">
        <v>68</v>
      </c>
      <c r="DS60" s="8">
        <f>1488/2</f>
        <v>744</v>
      </c>
      <c r="DT60" s="8">
        <f>595.3/2</f>
        <v>297.64999999999998</v>
      </c>
      <c r="DU60" s="8">
        <f>892.7/2</f>
        <v>446.35</v>
      </c>
      <c r="DV60" s="8">
        <v>0</v>
      </c>
      <c r="DW60" s="6">
        <f t="shared" si="420"/>
        <v>0</v>
      </c>
      <c r="DX60" s="8">
        <v>0</v>
      </c>
      <c r="DY60" s="6">
        <f t="shared" si="421"/>
        <v>0</v>
      </c>
      <c r="DZ60" s="6">
        <v>0</v>
      </c>
      <c r="EA60" s="6">
        <f>(DZ60/$DR$4)*100</f>
        <v>0</v>
      </c>
      <c r="EB60" s="8">
        <v>0</v>
      </c>
      <c r="EC60" s="6">
        <f>(DS60/$V$4)*100</f>
        <v>100</v>
      </c>
      <c r="ED60" s="6">
        <f t="shared" si="467"/>
        <v>100</v>
      </c>
      <c r="EE60" s="18">
        <f t="shared" si="468"/>
        <v>0</v>
      </c>
      <c r="EF60" s="6">
        <f>(EH60/($DR$4*EI60))*100</f>
        <v>31.731671554252198</v>
      </c>
      <c r="EG60" s="6">
        <f>SUM(DT60:DV60,DX60,DZ60)</f>
        <v>744</v>
      </c>
      <c r="EH60" s="85">
        <v>12984.6</v>
      </c>
      <c r="EI60" s="8">
        <v>55</v>
      </c>
      <c r="EK60" s="74" t="s">
        <v>67</v>
      </c>
      <c r="EL60" s="37" t="s">
        <v>68</v>
      </c>
      <c r="EM60" s="8">
        <f>405/2</f>
        <v>202.5</v>
      </c>
      <c r="EN60" s="8">
        <f>42.4/2</f>
        <v>21.2</v>
      </c>
      <c r="EO60" s="8">
        <f>362.6/2</f>
        <v>181.3</v>
      </c>
      <c r="EP60" s="8">
        <f>939/2</f>
        <v>469.5</v>
      </c>
      <c r="EQ60" s="6">
        <f t="shared" si="424"/>
        <v>69.866071428571431</v>
      </c>
      <c r="ER60" s="8">
        <v>0</v>
      </c>
      <c r="ES60" s="6">
        <f t="shared" si="425"/>
        <v>0</v>
      </c>
      <c r="ET60" s="6">
        <v>0</v>
      </c>
      <c r="EU60" s="6">
        <f>(ET60/$EL$4)*100</f>
        <v>0</v>
      </c>
      <c r="EV60" s="8">
        <v>0</v>
      </c>
      <c r="EW60" s="6">
        <f>(EM60/$V$4)*100</f>
        <v>27.217741935483868</v>
      </c>
      <c r="EX60" s="6">
        <f t="shared" si="469"/>
        <v>30.133928571428569</v>
      </c>
      <c r="EY60" s="18">
        <f t="shared" si="470"/>
        <v>95.679641328714084</v>
      </c>
      <c r="EZ60" s="6">
        <f t="shared" ref="EZ60:EZ63" si="970">(FB60/($EL$4*FC60))*100</f>
        <v>2.7483766233766231</v>
      </c>
      <c r="FA60" s="6">
        <f>SUM(EN60:EP60,ER60,ET60)</f>
        <v>672</v>
      </c>
      <c r="FB60" s="85">
        <v>1015.8</v>
      </c>
      <c r="FC60" s="8">
        <v>55</v>
      </c>
      <c r="FE60" s="74" t="s">
        <v>67</v>
      </c>
      <c r="FF60" s="37" t="s">
        <v>68</v>
      </c>
      <c r="FG60" s="8">
        <v>0</v>
      </c>
      <c r="FH60" s="8">
        <v>0</v>
      </c>
      <c r="FI60" s="8">
        <v>0</v>
      </c>
      <c r="FJ60" s="8">
        <f>1488/2</f>
        <v>744</v>
      </c>
      <c r="FK60" s="6">
        <f t="shared" si="439"/>
        <v>100</v>
      </c>
      <c r="FL60" s="8">
        <v>0</v>
      </c>
      <c r="FM60" s="6">
        <f t="shared" si="440"/>
        <v>0</v>
      </c>
      <c r="FN60" s="6">
        <v>0</v>
      </c>
      <c r="FO60" s="6">
        <f t="shared" ref="FO60:FO63" si="971">(FN60/$FF$4)*100</f>
        <v>0</v>
      </c>
      <c r="FP60" s="8">
        <v>0</v>
      </c>
      <c r="FQ60" s="6">
        <f>(FG60/$V$4)*100</f>
        <v>0</v>
      </c>
      <c r="FR60" s="6">
        <f t="shared" si="473"/>
        <v>0</v>
      </c>
      <c r="FS60" s="18">
        <f t="shared" si="474"/>
        <v>100</v>
      </c>
      <c r="FT60" s="6">
        <f>(FV60/($FF$4*FW60))*100</f>
        <v>0</v>
      </c>
      <c r="FU60" s="6">
        <f>SUM(FH60:FJ60,FL60,FN60)</f>
        <v>744</v>
      </c>
      <c r="FV60" s="8">
        <v>0</v>
      </c>
      <c r="FW60" s="8">
        <v>55</v>
      </c>
      <c r="FY60" s="74" t="s">
        <v>67</v>
      </c>
      <c r="FZ60" s="37" t="s">
        <v>68</v>
      </c>
      <c r="GA60" s="8">
        <v>0</v>
      </c>
      <c r="GB60" s="8">
        <v>0</v>
      </c>
      <c r="GC60" s="8">
        <v>0</v>
      </c>
      <c r="GD60" s="8">
        <f>1440/2</f>
        <v>720</v>
      </c>
      <c r="GE60" s="6">
        <f>(GD60/$FZ$4)</f>
        <v>1</v>
      </c>
      <c r="GF60" s="8">
        <v>0</v>
      </c>
      <c r="GG60" s="8">
        <f t="shared" si="902"/>
        <v>0</v>
      </c>
      <c r="GH60" s="8">
        <v>0</v>
      </c>
      <c r="GI60" s="6">
        <f>(GH60/$FZ$4)*100</f>
        <v>0</v>
      </c>
      <c r="GJ60" s="8">
        <v>0</v>
      </c>
      <c r="GK60" s="6">
        <f>(GA60/$V$4)*100</f>
        <v>0</v>
      </c>
      <c r="GL60" s="6">
        <f t="shared" ref="GL60:GL63" si="972">((GA60-GJ60)/$FZ$4)*100</f>
        <v>0</v>
      </c>
      <c r="GM60" s="18">
        <f t="shared" ref="GM60:GM63" si="973">IF((AND(GB60=0,GD60=0)),0,(GD60+GJ60)/(GB60+GD60)*100)</f>
        <v>100</v>
      </c>
      <c r="GN60" s="6">
        <f>(GP60/($FZ$4*GQ60))*100</f>
        <v>0</v>
      </c>
      <c r="GO60" s="6">
        <f>SUM(GB60:GD60,GF60,GH60)</f>
        <v>720</v>
      </c>
      <c r="GP60" s="8">
        <v>0</v>
      </c>
      <c r="GQ60" s="8">
        <v>55</v>
      </c>
      <c r="GS60" s="74" t="s">
        <v>67</v>
      </c>
      <c r="GT60" s="37" t="s">
        <v>68</v>
      </c>
      <c r="GU60" s="8">
        <v>0</v>
      </c>
      <c r="GV60" s="8">
        <v>0</v>
      </c>
      <c r="GW60" s="8">
        <v>0</v>
      </c>
      <c r="GX60" s="8">
        <f>1488/2</f>
        <v>744</v>
      </c>
      <c r="GY60" s="8">
        <f t="shared" si="559"/>
        <v>100</v>
      </c>
      <c r="GZ60" s="8">
        <v>0</v>
      </c>
      <c r="HA60" s="8">
        <f t="shared" si="560"/>
        <v>0</v>
      </c>
      <c r="HB60" s="8">
        <v>0</v>
      </c>
      <c r="HC60" s="6">
        <f>(HB60/$GT$4)*100</f>
        <v>0</v>
      </c>
      <c r="HD60" s="8">
        <v>0</v>
      </c>
      <c r="HE60" s="6">
        <f>(GU60/$GT$4)*100</f>
        <v>0</v>
      </c>
      <c r="HF60" s="8">
        <f t="shared" si="396"/>
        <v>0</v>
      </c>
      <c r="HG60" s="8">
        <f t="shared" si="397"/>
        <v>100</v>
      </c>
      <c r="HH60" s="6">
        <f t="shared" ref="HH60:HH63" si="974">(HJ60/($GT$4*HK60))*100</f>
        <v>0</v>
      </c>
      <c r="HI60" s="6">
        <f>SUM(GV60:GX60,GZ60,HB60)</f>
        <v>744</v>
      </c>
      <c r="HJ60" s="8">
        <v>0</v>
      </c>
      <c r="HK60" s="8">
        <v>55</v>
      </c>
      <c r="HM60" s="74" t="s">
        <v>67</v>
      </c>
      <c r="HN60" s="37" t="s">
        <v>68</v>
      </c>
      <c r="HO60" s="8">
        <v>0</v>
      </c>
      <c r="HP60" s="8">
        <v>0</v>
      </c>
      <c r="HQ60" s="8">
        <v>0</v>
      </c>
      <c r="HR60" s="8">
        <f>1440/2</f>
        <v>720</v>
      </c>
      <c r="HS60" s="6">
        <f>(HR60/$HN$4)*100</f>
        <v>100</v>
      </c>
      <c r="HT60" s="8">
        <v>0</v>
      </c>
      <c r="HU60" s="6">
        <f>(HT60/$HN$4)*100</f>
        <v>0</v>
      </c>
      <c r="HV60" s="8">
        <v>0</v>
      </c>
      <c r="HW60" s="6">
        <f>(HV60/$HN$4)*100</f>
        <v>0</v>
      </c>
      <c r="HX60" s="8">
        <v>0</v>
      </c>
      <c r="HY60" s="6">
        <f>(HO60/$HN$4)*100</f>
        <v>0</v>
      </c>
      <c r="HZ60" s="21">
        <f>((HO60-HX60)/$HN$4)*100</f>
        <v>0</v>
      </c>
      <c r="IA60" s="21">
        <f t="shared" ref="IA60:IA63" si="975">IF((AND(HP60=0,HR60=0)),0,(HR60+HX60)/(HP60+HR60)*100)</f>
        <v>100</v>
      </c>
      <c r="IB60" s="6">
        <f>(ID60/($HN$4*IE60))*100</f>
        <v>0</v>
      </c>
      <c r="IC60" s="6">
        <f>SUM(HP60:HR60,HT60,HV60)</f>
        <v>720</v>
      </c>
      <c r="ID60" s="8">
        <v>0</v>
      </c>
      <c r="IE60" s="8">
        <v>55</v>
      </c>
      <c r="IF60" s="15">
        <v>0</v>
      </c>
    </row>
    <row r="61" spans="1:240" ht="14.25" x14ac:dyDescent="0.25">
      <c r="B61" s="37" t="s">
        <v>65</v>
      </c>
      <c r="C61" s="8">
        <f>1478/2</f>
        <v>739</v>
      </c>
      <c r="D61" s="8">
        <f>527.2/2</f>
        <v>263.60000000000002</v>
      </c>
      <c r="E61" s="8">
        <f>950.8/2</f>
        <v>475.4</v>
      </c>
      <c r="F61" s="8">
        <v>0</v>
      </c>
      <c r="G61" s="6">
        <f t="shared" si="339"/>
        <v>0</v>
      </c>
      <c r="H61" s="8">
        <v>0</v>
      </c>
      <c r="I61" s="6">
        <f t="shared" si="340"/>
        <v>0</v>
      </c>
      <c r="J61" s="6">
        <f>10/2</f>
        <v>5</v>
      </c>
      <c r="K61" s="6">
        <f t="shared" si="961"/>
        <v>0.67204301075268813</v>
      </c>
      <c r="L61" s="8">
        <v>0</v>
      </c>
      <c r="M61" s="6">
        <f t="shared" ref="M61" si="976">(C61/$B$4)*100</f>
        <v>99.327956989247312</v>
      </c>
      <c r="N61" s="6">
        <f t="shared" si="525"/>
        <v>99.327956989247312</v>
      </c>
      <c r="O61" s="8">
        <f t="shared" si="526"/>
        <v>0</v>
      </c>
      <c r="P61" s="6">
        <f t="shared" ref="P61:P63" si="977">(R61/($B$4*S61))*100</f>
        <v>28.705767350928639</v>
      </c>
      <c r="Q61" s="6">
        <f t="shared" ref="Q61:Q63" si="978">SUM(D61:F61,H61,J61)</f>
        <v>744</v>
      </c>
      <c r="R61" s="85">
        <v>11746.4</v>
      </c>
      <c r="S61" s="8">
        <v>55</v>
      </c>
      <c r="V61" s="37" t="s">
        <v>65</v>
      </c>
      <c r="W61" s="8">
        <f>1457.5/2</f>
        <v>728.75</v>
      </c>
      <c r="X61" s="8">
        <f>824.6/2</f>
        <v>412.3</v>
      </c>
      <c r="Y61" s="8">
        <f>632.9/2</f>
        <v>316.45</v>
      </c>
      <c r="Z61" s="8">
        <f>30.5/2</f>
        <v>15.25</v>
      </c>
      <c r="AA61" s="6">
        <f t="shared" si="830"/>
        <v>2.049731182795699</v>
      </c>
      <c r="AB61" s="8">
        <f>0/2</f>
        <v>0</v>
      </c>
      <c r="AC61" s="6">
        <f t="shared" si="830"/>
        <v>0</v>
      </c>
      <c r="AD61" s="6">
        <v>0</v>
      </c>
      <c r="AE61" s="6">
        <f t="shared" si="962"/>
        <v>0</v>
      </c>
      <c r="AF61" s="8">
        <v>0</v>
      </c>
      <c r="AG61" s="6">
        <f>(W61/$V$4)*100</f>
        <v>97.950268817204304</v>
      </c>
      <c r="AH61" s="6">
        <f t="shared" si="963"/>
        <v>97.950268817204304</v>
      </c>
      <c r="AI61" s="18">
        <f>IF((AND(X61=0,Z61=0)),0,(Z61+AF61)/(X61+Z61)*100)</f>
        <v>3.566834288387323</v>
      </c>
      <c r="AJ61" s="6">
        <f t="shared" ref="AJ61:AJ63" si="979">(AL61/($V$4*AM61))*100</f>
        <v>41.46847507331379</v>
      </c>
      <c r="AK61" s="6">
        <f t="shared" ref="AK61:AK63" si="980">SUM(X61:Z61,AB61,AD61)</f>
        <v>744</v>
      </c>
      <c r="AL61" s="43">
        <v>16968.900000000001</v>
      </c>
      <c r="AM61" s="8">
        <v>55</v>
      </c>
      <c r="AP61" s="37" t="s">
        <v>65</v>
      </c>
      <c r="AQ61" s="8">
        <f>1415/2</f>
        <v>707.5</v>
      </c>
      <c r="AR61" s="8">
        <f>705.9/2</f>
        <v>352.95</v>
      </c>
      <c r="AS61" s="8">
        <f>709.1/2</f>
        <v>354.55</v>
      </c>
      <c r="AT61" s="8">
        <f>25/2</f>
        <v>12.5</v>
      </c>
      <c r="AU61" s="6">
        <f t="shared" si="833"/>
        <v>1.7361111111111112</v>
      </c>
      <c r="AV61" s="8">
        <v>0</v>
      </c>
      <c r="AW61" s="8">
        <f t="shared" ref="AW61:AW63" si="981">(AV61/$AP$4)*100</f>
        <v>0</v>
      </c>
      <c r="AX61" s="8">
        <v>0</v>
      </c>
      <c r="AY61" s="6">
        <f>(AX61/$AP$4)*100</f>
        <v>0</v>
      </c>
      <c r="AZ61" s="8">
        <v>0</v>
      </c>
      <c r="BA61" s="6">
        <f t="shared" ref="BA61" si="982">(AQ61/$AP$4)*100</f>
        <v>98.263888888888886</v>
      </c>
      <c r="BB61" s="6">
        <f t="shared" si="964"/>
        <v>98.263888888888886</v>
      </c>
      <c r="BC61" s="15">
        <f t="shared" si="965"/>
        <v>3.4204405527431931</v>
      </c>
      <c r="BD61" s="6">
        <f t="shared" si="966"/>
        <v>38.015404040404043</v>
      </c>
      <c r="BE61" s="6">
        <f t="shared" ref="BE61:BE63" si="983">SUM(AR61:AT61,AV61,AX61)</f>
        <v>720</v>
      </c>
      <c r="BF61" s="85">
        <v>15054.1</v>
      </c>
      <c r="BG61" s="8">
        <v>55</v>
      </c>
      <c r="BJ61" s="37" t="s">
        <v>65</v>
      </c>
      <c r="BK61" s="8">
        <f>1488/2</f>
        <v>744</v>
      </c>
      <c r="BL61" s="8">
        <f>782.3/2</f>
        <v>391.15</v>
      </c>
      <c r="BM61" s="8">
        <f>705.7/2</f>
        <v>352.85</v>
      </c>
      <c r="BN61" s="8">
        <v>0</v>
      </c>
      <c r="BO61" s="6">
        <f t="shared" si="836"/>
        <v>0</v>
      </c>
      <c r="BP61" s="8">
        <v>0</v>
      </c>
      <c r="BQ61" s="6">
        <f t="shared" si="836"/>
        <v>0</v>
      </c>
      <c r="BR61" s="6">
        <v>0</v>
      </c>
      <c r="BS61" s="6">
        <f>(BR61/$BJ$4)*100</f>
        <v>0</v>
      </c>
      <c r="BT61" s="8">
        <v>0</v>
      </c>
      <c r="BU61" s="6">
        <f t="shared" si="967"/>
        <v>100</v>
      </c>
      <c r="BV61" s="6">
        <f t="shared" si="898"/>
        <v>100</v>
      </c>
      <c r="BW61" s="18">
        <f t="shared" si="899"/>
        <v>0</v>
      </c>
      <c r="BX61" s="6">
        <f t="shared" si="968"/>
        <v>41.717986314760509</v>
      </c>
      <c r="BY61" s="6">
        <f t="shared" ref="BY61:BY63" si="984">SUM(BL61:BN61,BP61,BR61)</f>
        <v>744</v>
      </c>
      <c r="BZ61" s="85">
        <v>17071</v>
      </c>
      <c r="CA61" s="8">
        <v>55</v>
      </c>
      <c r="CD61" s="37" t="s">
        <v>65</v>
      </c>
      <c r="CE61" s="8">
        <f>1426/2</f>
        <v>713</v>
      </c>
      <c r="CF61" s="8">
        <f>485/2</f>
        <v>242.5</v>
      </c>
      <c r="CG61" s="8">
        <f>941/2</f>
        <v>470.5</v>
      </c>
      <c r="CH61" s="8">
        <v>0</v>
      </c>
      <c r="CI61" s="6">
        <f t="shared" si="839"/>
        <v>0</v>
      </c>
      <c r="CJ61" s="8">
        <f>14/2</f>
        <v>7</v>
      </c>
      <c r="CK61" s="6">
        <f t="shared" si="839"/>
        <v>0.97222222222222221</v>
      </c>
      <c r="CL61" s="6">
        <v>0</v>
      </c>
      <c r="CM61" s="6">
        <f>(CL61/$CD$4)*100</f>
        <v>0</v>
      </c>
      <c r="CN61" s="8">
        <v>0</v>
      </c>
      <c r="CO61" s="6">
        <f>(CE61/$CD$4)*100</f>
        <v>99.027777777777786</v>
      </c>
      <c r="CP61" s="6">
        <f t="shared" si="840"/>
        <v>99.027777777777786</v>
      </c>
      <c r="CQ61" s="18">
        <f t="shared" ref="CQ61" si="985">IF((AND(CF61=0,CH61=0)),0,(CH61+CN61)/(CF61+CH61)*100)</f>
        <v>0</v>
      </c>
      <c r="CR61" s="6">
        <f t="shared" si="969"/>
        <v>26.095202020202024</v>
      </c>
      <c r="CS61" s="6">
        <f t="shared" ref="CS61:CS63" si="986">SUM(CF61:CH61,CJ61,CL61)</f>
        <v>720</v>
      </c>
      <c r="CT61" s="46">
        <v>10333.700000000001</v>
      </c>
      <c r="CU61" s="8">
        <v>55</v>
      </c>
      <c r="CX61" s="37" t="s">
        <v>65</v>
      </c>
      <c r="CY61" s="8">
        <f>1417.7/2</f>
        <v>708.85</v>
      </c>
      <c r="CZ61" s="8">
        <f>571.1/2</f>
        <v>285.55</v>
      </c>
      <c r="DA61" s="8">
        <f>846.6/2</f>
        <v>423.3</v>
      </c>
      <c r="DB61" s="8">
        <f>51.5/2</f>
        <v>25.75</v>
      </c>
      <c r="DC61" s="6">
        <f t="shared" si="416"/>
        <v>3.461021505376344</v>
      </c>
      <c r="DD61" s="8">
        <f>18.8/2</f>
        <v>9.4</v>
      </c>
      <c r="DE61" s="6">
        <f t="shared" si="417"/>
        <v>1.2634408602150538</v>
      </c>
      <c r="DF61" s="6">
        <v>0</v>
      </c>
      <c r="DG61" s="6">
        <f t="shared" ref="DG61" si="987">(DF61/$CX$4)*100</f>
        <v>0</v>
      </c>
      <c r="DH61" s="8">
        <v>0</v>
      </c>
      <c r="DI61" s="6">
        <f>(CY61/$V$4)*100</f>
        <v>95.275537634408607</v>
      </c>
      <c r="DJ61" s="6">
        <f t="shared" si="464"/>
        <v>95.275537634408607</v>
      </c>
      <c r="DK61" s="18">
        <f t="shared" si="465"/>
        <v>8.271763572116928</v>
      </c>
      <c r="DL61" s="6">
        <f t="shared" ref="DL61:DL63" si="988">(DN61/($CX$4*DO61))*100</f>
        <v>31.376099706744871</v>
      </c>
      <c r="DM61" s="6">
        <f t="shared" ref="DM61:DM63" si="989">SUM(CZ61:DB61,DD61,DF61)</f>
        <v>744</v>
      </c>
      <c r="DN61" s="85">
        <v>12839.1</v>
      </c>
      <c r="DO61" s="8">
        <v>55</v>
      </c>
      <c r="DR61" s="37" t="s">
        <v>65</v>
      </c>
      <c r="DS61" s="8">
        <f>1488/2</f>
        <v>744</v>
      </c>
      <c r="DT61" s="6">
        <f>677.6/2</f>
        <v>338.8</v>
      </c>
      <c r="DU61" s="6">
        <f>810.4/2</f>
        <v>405.2</v>
      </c>
      <c r="DV61" s="8">
        <v>0</v>
      </c>
      <c r="DW61" s="6">
        <f t="shared" si="420"/>
        <v>0</v>
      </c>
      <c r="DX61" s="8">
        <v>0</v>
      </c>
      <c r="DY61" s="6">
        <f t="shared" si="421"/>
        <v>0</v>
      </c>
      <c r="DZ61" s="6">
        <v>0</v>
      </c>
      <c r="EA61" s="6">
        <f>(DZ61/$DR$4)*100</f>
        <v>0</v>
      </c>
      <c r="EB61" s="8">
        <v>0</v>
      </c>
      <c r="EC61" s="6">
        <f>(DS61/$V$4)*100</f>
        <v>100</v>
      </c>
      <c r="ED61" s="6">
        <f t="shared" si="467"/>
        <v>100</v>
      </c>
      <c r="EE61" s="18">
        <f t="shared" si="468"/>
        <v>0</v>
      </c>
      <c r="EF61" s="6">
        <f t="shared" ref="EF61:EF63" si="990">(EH61/($DR$4*EI61))*100</f>
        <v>36.380009775171068</v>
      </c>
      <c r="EG61" s="6">
        <f t="shared" ref="EG61:EG63" si="991">SUM(DT61:DV61,DX61,DZ61)</f>
        <v>744</v>
      </c>
      <c r="EH61" s="85">
        <v>14886.7</v>
      </c>
      <c r="EI61" s="8">
        <v>55</v>
      </c>
      <c r="EL61" s="37" t="s">
        <v>65</v>
      </c>
      <c r="EM61" s="8">
        <f>1344/2</f>
        <v>672</v>
      </c>
      <c r="EN61" s="8">
        <f>429.2/2</f>
        <v>214.6</v>
      </c>
      <c r="EO61" s="8">
        <f>914.8/2</f>
        <v>457.4</v>
      </c>
      <c r="EP61" s="8">
        <v>0</v>
      </c>
      <c r="EQ61" s="6">
        <f t="shared" si="424"/>
        <v>0</v>
      </c>
      <c r="ER61" s="8">
        <v>0</v>
      </c>
      <c r="ES61" s="6">
        <f t="shared" si="425"/>
        <v>0</v>
      </c>
      <c r="ET61" s="6">
        <v>0</v>
      </c>
      <c r="EU61" s="6">
        <f>(ET61/$EL$4)*100</f>
        <v>0</v>
      </c>
      <c r="EV61" s="8">
        <v>0</v>
      </c>
      <c r="EW61" s="6">
        <f>(EM61/$V$4)*100</f>
        <v>90.322580645161281</v>
      </c>
      <c r="EX61" s="6">
        <f t="shared" si="469"/>
        <v>100</v>
      </c>
      <c r="EY61" s="18">
        <f t="shared" si="470"/>
        <v>0</v>
      </c>
      <c r="EZ61" s="6">
        <f t="shared" si="970"/>
        <v>26.768939393939391</v>
      </c>
      <c r="FA61" s="6">
        <f t="shared" ref="FA61:FA63" si="992">SUM(EN61:EP61,ER61,ET61)</f>
        <v>672</v>
      </c>
      <c r="FB61" s="85">
        <v>9893.7999999999993</v>
      </c>
      <c r="FC61" s="8">
        <v>55</v>
      </c>
      <c r="FF61" s="37" t="s">
        <v>65</v>
      </c>
      <c r="FG61" s="8">
        <f>1488/2</f>
        <v>744</v>
      </c>
      <c r="FH61" s="8">
        <f>527.2/2</f>
        <v>263.60000000000002</v>
      </c>
      <c r="FI61" s="8">
        <f>960.8/2</f>
        <v>480.4</v>
      </c>
      <c r="FJ61" s="8">
        <v>0</v>
      </c>
      <c r="FK61" s="6">
        <f t="shared" si="439"/>
        <v>0</v>
      </c>
      <c r="FL61" s="8">
        <v>0</v>
      </c>
      <c r="FM61" s="6">
        <f t="shared" si="440"/>
        <v>0</v>
      </c>
      <c r="FN61" s="6">
        <v>0</v>
      </c>
      <c r="FO61" s="6">
        <f t="shared" si="971"/>
        <v>0</v>
      </c>
      <c r="FP61" s="8">
        <v>0</v>
      </c>
      <c r="FQ61" s="6">
        <f>(FG61/$V$4)*100</f>
        <v>100</v>
      </c>
      <c r="FR61" s="6">
        <f t="shared" si="473"/>
        <v>100</v>
      </c>
      <c r="FS61" s="18">
        <f t="shared" si="474"/>
        <v>0</v>
      </c>
      <c r="FT61" s="6">
        <f t="shared" ref="FT61" si="993">(FV61/($FF$4*FW61))*100</f>
        <v>30.412512218963826</v>
      </c>
      <c r="FU61" s="6">
        <f t="shared" ref="FU61:FU63" si="994">SUM(FH61:FJ61,FL61,FN61)</f>
        <v>744</v>
      </c>
      <c r="FV61" s="85">
        <v>12444.8</v>
      </c>
      <c r="FW61" s="8">
        <v>55</v>
      </c>
      <c r="FZ61" s="37" t="s">
        <v>65</v>
      </c>
      <c r="GA61" s="8">
        <f>1440/2</f>
        <v>720</v>
      </c>
      <c r="GB61" s="8">
        <f>489.9/2</f>
        <v>244.95</v>
      </c>
      <c r="GC61" s="8">
        <f>(471.2+478.9)/2</f>
        <v>475.04999999999995</v>
      </c>
      <c r="GD61" s="8">
        <v>0</v>
      </c>
      <c r="GE61" s="6">
        <f t="shared" ref="GE61:GE63" si="995">(GD61/$FZ$4)</f>
        <v>0</v>
      </c>
      <c r="GF61" s="8">
        <v>0</v>
      </c>
      <c r="GG61" s="8">
        <f t="shared" si="902"/>
        <v>0</v>
      </c>
      <c r="GH61" s="8">
        <v>0</v>
      </c>
      <c r="GI61" s="6">
        <f t="shared" ref="GI61" si="996">(GH61/$FZ$4)*100</f>
        <v>0</v>
      </c>
      <c r="GJ61" s="8">
        <v>0</v>
      </c>
      <c r="GK61" s="6">
        <f>(GA61/$V$4)*100</f>
        <v>96.774193548387103</v>
      </c>
      <c r="GL61" s="6">
        <f t="shared" si="972"/>
        <v>100</v>
      </c>
      <c r="GM61" s="18">
        <f t="shared" si="973"/>
        <v>0</v>
      </c>
      <c r="GN61" s="6">
        <f>(GP61/($FZ$4*GQ61))*100</f>
        <v>28.836111111111112</v>
      </c>
      <c r="GO61" s="6">
        <f t="shared" ref="GO61:GO63" si="997">SUM(GB61:GD61,GF61,GH61)</f>
        <v>720</v>
      </c>
      <c r="GP61" s="85">
        <v>11419.1</v>
      </c>
      <c r="GQ61" s="8">
        <v>55</v>
      </c>
      <c r="GT61" s="37" t="s">
        <v>65</v>
      </c>
      <c r="GU61" s="8">
        <f>1488/2</f>
        <v>744</v>
      </c>
      <c r="GV61" s="8">
        <f>133.4/2</f>
        <v>66.7</v>
      </c>
      <c r="GW61" s="8">
        <f>1354.6/2</f>
        <v>677.3</v>
      </c>
      <c r="GX61" s="8">
        <v>0</v>
      </c>
      <c r="GY61" s="8">
        <f t="shared" si="559"/>
        <v>0</v>
      </c>
      <c r="GZ61" s="8">
        <v>0</v>
      </c>
      <c r="HA61" s="8">
        <f t="shared" si="560"/>
        <v>0</v>
      </c>
      <c r="HB61" s="8">
        <v>0</v>
      </c>
      <c r="HC61" s="6">
        <f>(HB61/$GT$4)*100</f>
        <v>0</v>
      </c>
      <c r="HD61" s="8">
        <v>0</v>
      </c>
      <c r="HE61" s="6">
        <f t="shared" ref="HE61:HE63" si="998">(GU61/$GT$4)*100</f>
        <v>100</v>
      </c>
      <c r="HF61" s="8">
        <f t="shared" si="396"/>
        <v>100</v>
      </c>
      <c r="HG61" s="6">
        <f t="shared" si="397"/>
        <v>0</v>
      </c>
      <c r="HH61" s="6">
        <f t="shared" si="974"/>
        <v>7.4709188660801562</v>
      </c>
      <c r="HI61" s="6">
        <f t="shared" ref="HI61:HI63" si="999">SUM(GV61:GX61,GZ61,HB61)</f>
        <v>744</v>
      </c>
      <c r="HJ61" s="85">
        <v>3057.1</v>
      </c>
      <c r="HK61" s="8">
        <v>55</v>
      </c>
      <c r="HN61" s="37" t="s">
        <v>65</v>
      </c>
      <c r="HO61" s="8">
        <f>(520.25+520.25)/2</f>
        <v>520.25</v>
      </c>
      <c r="HP61" s="8">
        <f>(94.1+86.7)/2</f>
        <v>90.4</v>
      </c>
      <c r="HQ61" s="8">
        <f>(426.15+433.55)/2</f>
        <v>429.85</v>
      </c>
      <c r="HR61" s="8">
        <v>0</v>
      </c>
      <c r="HS61" s="6">
        <f t="shared" ref="HS61" si="1000">(HR61/$HN$4)*100</f>
        <v>0</v>
      </c>
      <c r="HT61" s="8">
        <v>0</v>
      </c>
      <c r="HU61" s="6">
        <f t="shared" ref="HU61" si="1001">(HT61/$HN$4)*100</f>
        <v>0</v>
      </c>
      <c r="HV61" s="8">
        <f>(199.75+199.75)/2</f>
        <v>199.75</v>
      </c>
      <c r="HW61" s="6">
        <f t="shared" ref="HW61" si="1002">(HV61/$HN$4)*100</f>
        <v>27.743055555555557</v>
      </c>
      <c r="HX61" s="8">
        <v>0</v>
      </c>
      <c r="HY61" s="6">
        <f>(HO61/$HN$4)*100</f>
        <v>72.256944444444443</v>
      </c>
      <c r="HZ61" s="21">
        <f>((HO61-HX61)/$HN$4)*100</f>
        <v>72.256944444444443</v>
      </c>
      <c r="IA61" s="6">
        <f t="shared" si="975"/>
        <v>0</v>
      </c>
      <c r="IB61" s="6">
        <f>(ID61/($HN$4*IE61))*100</f>
        <v>9.8739898989898993</v>
      </c>
      <c r="IC61" s="6">
        <f t="shared" ref="IC61:IC63" si="1003">SUM(HP61:HR61,HT61,HV61)</f>
        <v>720</v>
      </c>
      <c r="ID61" s="8">
        <v>3910.1</v>
      </c>
      <c r="IE61" s="8">
        <v>55</v>
      </c>
      <c r="IF61" s="15">
        <v>0</v>
      </c>
    </row>
    <row r="62" spans="1:240" ht="14.25" x14ac:dyDescent="0.25">
      <c r="B62" s="8">
        <v>3</v>
      </c>
      <c r="C62" s="8">
        <f>639/2</f>
        <v>319.5</v>
      </c>
      <c r="D62" s="8">
        <f>194.7/2</f>
        <v>97.35</v>
      </c>
      <c r="E62" s="8">
        <f>444.3/2</f>
        <v>222.15</v>
      </c>
      <c r="F62" s="8">
        <f>849/2</f>
        <v>424.5</v>
      </c>
      <c r="G62" s="6">
        <f t="shared" si="339"/>
        <v>57.056451612903224</v>
      </c>
      <c r="H62" s="8">
        <v>0</v>
      </c>
      <c r="I62" s="6">
        <f t="shared" si="340"/>
        <v>0</v>
      </c>
      <c r="J62" s="6">
        <v>0</v>
      </c>
      <c r="K62" s="6">
        <f t="shared" si="961"/>
        <v>0</v>
      </c>
      <c r="L62" s="8">
        <v>0</v>
      </c>
      <c r="M62" s="6">
        <f>(C62/$B$4)*100</f>
        <v>42.943548387096776</v>
      </c>
      <c r="N62" s="6">
        <f t="shared" si="525"/>
        <v>42.943548387096776</v>
      </c>
      <c r="O62" s="6">
        <f t="shared" si="526"/>
        <v>81.34521414199483</v>
      </c>
      <c r="P62" s="6">
        <f t="shared" si="977"/>
        <v>9.804007820136853</v>
      </c>
      <c r="Q62" s="6">
        <f t="shared" si="978"/>
        <v>744</v>
      </c>
      <c r="R62" s="85">
        <v>4011.8</v>
      </c>
      <c r="S62" s="8">
        <v>55</v>
      </c>
      <c r="V62" s="8">
        <v>3</v>
      </c>
      <c r="W62" s="8">
        <f>699.75/2</f>
        <v>349.875</v>
      </c>
      <c r="X62" s="8">
        <f>333.5/2</f>
        <v>166.75</v>
      </c>
      <c r="Y62" s="6">
        <f>366.25/2</f>
        <v>183.125</v>
      </c>
      <c r="Z62" s="8">
        <f>781.5/2</f>
        <v>390.75</v>
      </c>
      <c r="AA62" s="6">
        <f t="shared" si="830"/>
        <v>52.520161290322577</v>
      </c>
      <c r="AB62" s="8">
        <v>0</v>
      </c>
      <c r="AC62" s="6">
        <f t="shared" si="830"/>
        <v>0</v>
      </c>
      <c r="AD62" s="6">
        <f>6.75/2</f>
        <v>3.375</v>
      </c>
      <c r="AE62" s="6">
        <f t="shared" si="962"/>
        <v>0.45362903225806456</v>
      </c>
      <c r="AF62" s="8">
        <v>0</v>
      </c>
      <c r="AG62" s="6">
        <f>(W62/$V$4)*100</f>
        <v>47.026209677419359</v>
      </c>
      <c r="AH62" s="6">
        <f t="shared" si="963"/>
        <v>47.026209677419359</v>
      </c>
      <c r="AI62" s="18">
        <f>IF((AND(X62=0,Z62=0)),0,(Z62+AF62)/(X62+Z62)*100)</f>
        <v>70.08968609865471</v>
      </c>
      <c r="AJ62" s="6">
        <f>(AL62/($V$4*AM62))*100</f>
        <v>17.878787878787879</v>
      </c>
      <c r="AK62" s="6">
        <f t="shared" si="980"/>
        <v>744</v>
      </c>
      <c r="AL62" s="43">
        <v>7316</v>
      </c>
      <c r="AM62" s="8">
        <v>55</v>
      </c>
      <c r="AP62" s="8">
        <v>3</v>
      </c>
      <c r="AQ62" s="6">
        <f>678.75/2</f>
        <v>339.375</v>
      </c>
      <c r="AR62" s="8">
        <f>353.1/2</f>
        <v>176.55</v>
      </c>
      <c r="AS62" s="6">
        <f>325.65/2</f>
        <v>162.82499999999999</v>
      </c>
      <c r="AT62" s="6">
        <f>753.25/2</f>
        <v>376.625</v>
      </c>
      <c r="AU62" s="6">
        <f t="shared" si="833"/>
        <v>52.309027777777771</v>
      </c>
      <c r="AV62" s="8">
        <v>0</v>
      </c>
      <c r="AW62" s="8">
        <f t="shared" si="981"/>
        <v>0</v>
      </c>
      <c r="AX62" s="8">
        <f>8/2</f>
        <v>4</v>
      </c>
      <c r="AY62" s="6">
        <f>(AX62/$AP$4)*100</f>
        <v>0.55555555555555558</v>
      </c>
      <c r="AZ62" s="8">
        <v>0</v>
      </c>
      <c r="BA62" s="6">
        <f>(AQ62/$AP$4)*100</f>
        <v>47.135416666666671</v>
      </c>
      <c r="BB62" s="6">
        <f t="shared" si="964"/>
        <v>47.135416666666671</v>
      </c>
      <c r="BC62" s="15">
        <f t="shared" si="965"/>
        <v>68.084240972567457</v>
      </c>
      <c r="BD62" s="6">
        <f t="shared" si="966"/>
        <v>20.06818181818182</v>
      </c>
      <c r="BE62" s="6">
        <f t="shared" si="983"/>
        <v>720</v>
      </c>
      <c r="BF62" s="85">
        <v>7947</v>
      </c>
      <c r="BG62" s="8">
        <v>55</v>
      </c>
      <c r="BJ62" s="8">
        <v>3</v>
      </c>
      <c r="BK62" s="8">
        <f>614/2</f>
        <v>307</v>
      </c>
      <c r="BL62" s="8">
        <f>253.2/2</f>
        <v>126.6</v>
      </c>
      <c r="BM62" s="8">
        <f>360.8/2</f>
        <v>180.4</v>
      </c>
      <c r="BN62" s="8">
        <v>372</v>
      </c>
      <c r="BO62" s="6">
        <f t="shared" si="836"/>
        <v>50</v>
      </c>
      <c r="BP62" s="8">
        <v>65</v>
      </c>
      <c r="BQ62" s="6">
        <f t="shared" si="836"/>
        <v>8.736559139784946</v>
      </c>
      <c r="BR62" s="6">
        <v>0</v>
      </c>
      <c r="BS62" s="6">
        <f>(BR62/$BJ$4)*100</f>
        <v>0</v>
      </c>
      <c r="BT62" s="8">
        <v>0</v>
      </c>
      <c r="BU62" s="6">
        <f t="shared" si="967"/>
        <v>41.263440860215056</v>
      </c>
      <c r="BV62" s="6">
        <f t="shared" si="898"/>
        <v>41.263440860215056</v>
      </c>
      <c r="BW62" s="18">
        <f t="shared" si="899"/>
        <v>74.608904933814685</v>
      </c>
      <c r="BX62" s="6">
        <f t="shared" si="968"/>
        <v>13.951612903225808</v>
      </c>
      <c r="BY62" s="6">
        <f t="shared" si="984"/>
        <v>744</v>
      </c>
      <c r="BZ62" s="85">
        <v>5709</v>
      </c>
      <c r="CA62" s="8">
        <v>55</v>
      </c>
      <c r="CD62" s="8">
        <v>3</v>
      </c>
      <c r="CE62" s="8">
        <f>590/2</f>
        <v>295</v>
      </c>
      <c r="CF62" s="8">
        <f>208.4/2</f>
        <v>104.2</v>
      </c>
      <c r="CG62" s="8">
        <f>381.6/2</f>
        <v>190.8</v>
      </c>
      <c r="CH62" s="8">
        <f>720/2</f>
        <v>360</v>
      </c>
      <c r="CI62" s="6">
        <f t="shared" si="839"/>
        <v>50</v>
      </c>
      <c r="CJ62" s="8">
        <f>130/2</f>
        <v>65</v>
      </c>
      <c r="CK62" s="6">
        <f t="shared" si="839"/>
        <v>9.0277777777777768</v>
      </c>
      <c r="CL62" s="6">
        <v>0</v>
      </c>
      <c r="CM62" s="6">
        <f t="shared" ref="CM62" si="1004">(CL62/$CD$4)*100</f>
        <v>0</v>
      </c>
      <c r="CN62" s="8">
        <v>0</v>
      </c>
      <c r="CO62" s="6">
        <f>(CE62/$CD$4)*100</f>
        <v>40.972222222222221</v>
      </c>
      <c r="CP62" s="6">
        <f t="shared" si="840"/>
        <v>40.972222222222221</v>
      </c>
      <c r="CQ62" s="18">
        <f>IF((AND(CF62=0,CH62=0)),0,(CH62+CN62)/(CF62+CH62)*100)</f>
        <v>77.552778974579923</v>
      </c>
      <c r="CR62" s="6">
        <f t="shared" si="969"/>
        <v>11.33358585858586</v>
      </c>
      <c r="CS62" s="6">
        <f t="shared" si="986"/>
        <v>720</v>
      </c>
      <c r="CT62" s="46">
        <v>4488.1000000000004</v>
      </c>
      <c r="CU62" s="8">
        <v>55</v>
      </c>
      <c r="CX62" s="8">
        <v>3</v>
      </c>
      <c r="CY62" s="8">
        <f>715.3/2</f>
        <v>357.65</v>
      </c>
      <c r="CZ62" s="8">
        <f>255.4/2</f>
        <v>127.7</v>
      </c>
      <c r="DA62" s="8">
        <f>459.9/2</f>
        <v>229.95</v>
      </c>
      <c r="DB62" s="8">
        <f>772.7/2</f>
        <v>386.35</v>
      </c>
      <c r="DC62" s="6">
        <f t="shared" si="416"/>
        <v>51.928763440860216</v>
      </c>
      <c r="DD62" s="8">
        <v>0</v>
      </c>
      <c r="DE62" s="6">
        <f t="shared" si="417"/>
        <v>0</v>
      </c>
      <c r="DF62" s="6">
        <v>0</v>
      </c>
      <c r="DG62" s="6">
        <f>(DF62/$CX$4)*100</f>
        <v>0</v>
      </c>
      <c r="DH62" s="8">
        <v>0</v>
      </c>
      <c r="DI62" s="6">
        <f>(CY62/$V$4)*100</f>
        <v>48.071236559139777</v>
      </c>
      <c r="DJ62" s="6">
        <f t="shared" si="464"/>
        <v>48.071236559139777</v>
      </c>
      <c r="DK62" s="18">
        <f t="shared" si="465"/>
        <v>75.158058554615309</v>
      </c>
      <c r="DL62" s="6">
        <f>(DN62/($CX$4*DO62))*100</f>
        <v>13.587487781036167</v>
      </c>
      <c r="DM62" s="6">
        <f t="shared" si="989"/>
        <v>744</v>
      </c>
      <c r="DN62" s="85">
        <v>5560</v>
      </c>
      <c r="DO62" s="8">
        <v>55</v>
      </c>
      <c r="DR62" s="8">
        <v>3</v>
      </c>
      <c r="DS62" s="8">
        <f>744/2</f>
        <v>372</v>
      </c>
      <c r="DT62" s="6">
        <f>303.8/2</f>
        <v>151.9</v>
      </c>
      <c r="DU62" s="6">
        <f>440.2/2</f>
        <v>220.1</v>
      </c>
      <c r="DV62" s="8">
        <f>744/2</f>
        <v>372</v>
      </c>
      <c r="DW62" s="6">
        <f t="shared" si="420"/>
        <v>50</v>
      </c>
      <c r="DX62" s="8">
        <v>0</v>
      </c>
      <c r="DY62" s="6">
        <f t="shared" si="421"/>
        <v>0</v>
      </c>
      <c r="DZ62" s="6">
        <v>0</v>
      </c>
      <c r="EA62" s="6">
        <f>(DZ62/$DR$4)*100</f>
        <v>0</v>
      </c>
      <c r="EB62" s="8">
        <v>0</v>
      </c>
      <c r="EC62" s="6">
        <f>(DS62/$V$4)*100</f>
        <v>50</v>
      </c>
      <c r="ED62" s="6">
        <f t="shared" si="467"/>
        <v>50</v>
      </c>
      <c r="EE62" s="18">
        <f t="shared" si="468"/>
        <v>71.005917159763328</v>
      </c>
      <c r="EF62" s="6">
        <f t="shared" si="990"/>
        <v>15.977517106549366</v>
      </c>
      <c r="EG62" s="6">
        <f t="shared" si="991"/>
        <v>744</v>
      </c>
      <c r="EH62" s="85">
        <v>6538</v>
      </c>
      <c r="EI62" s="8">
        <v>55</v>
      </c>
      <c r="EL62" s="8">
        <v>3</v>
      </c>
      <c r="EM62" s="8">
        <f>624/2</f>
        <v>312</v>
      </c>
      <c r="EN62" s="8">
        <f>151.7/2</f>
        <v>75.849999999999994</v>
      </c>
      <c r="EO62" s="8">
        <f>472.3/2</f>
        <v>236.15</v>
      </c>
      <c r="EP62" s="8">
        <f>720/2</f>
        <v>360</v>
      </c>
      <c r="EQ62" s="6">
        <f t="shared" si="424"/>
        <v>53.571428571428569</v>
      </c>
      <c r="ER62" s="8">
        <v>0</v>
      </c>
      <c r="ES62" s="6">
        <f t="shared" si="425"/>
        <v>0</v>
      </c>
      <c r="ET62" s="6">
        <v>0</v>
      </c>
      <c r="EU62" s="6">
        <f>(ET62/$EL$4)*100</f>
        <v>0</v>
      </c>
      <c r="EV62" s="8">
        <v>0</v>
      </c>
      <c r="EW62" s="6">
        <f>(EM62/$V$4)*100</f>
        <v>41.935483870967744</v>
      </c>
      <c r="EX62" s="6">
        <f t="shared" si="469"/>
        <v>46.428571428571431</v>
      </c>
      <c r="EY62" s="18">
        <f t="shared" si="470"/>
        <v>82.597223815532857</v>
      </c>
      <c r="EZ62" s="6">
        <f t="shared" si="970"/>
        <v>9.0205627705627709</v>
      </c>
      <c r="FA62" s="6">
        <f t="shared" si="992"/>
        <v>672</v>
      </c>
      <c r="FB62" s="85">
        <v>3334</v>
      </c>
      <c r="FC62" s="8">
        <v>55</v>
      </c>
      <c r="FF62" s="8">
        <v>3</v>
      </c>
      <c r="FG62" s="8">
        <f>751.9/2</f>
        <v>375.95</v>
      </c>
      <c r="FH62" s="8">
        <f>204.5/2</f>
        <v>102.25</v>
      </c>
      <c r="FI62" s="8">
        <f>547.4/2</f>
        <v>273.7</v>
      </c>
      <c r="FJ62" s="8">
        <f>736.1/2</f>
        <v>368.05</v>
      </c>
      <c r="FK62" s="6">
        <f t="shared" si="439"/>
        <v>49.469086021505376</v>
      </c>
      <c r="FL62" s="8">
        <v>0</v>
      </c>
      <c r="FM62" s="6">
        <f t="shared" si="440"/>
        <v>0</v>
      </c>
      <c r="FN62" s="6">
        <v>0</v>
      </c>
      <c r="FO62" s="6">
        <f t="shared" si="971"/>
        <v>0</v>
      </c>
      <c r="FP62" s="8">
        <v>0</v>
      </c>
      <c r="FQ62" s="6">
        <f>(FG62/$V$4)*100</f>
        <v>50.530913978494617</v>
      </c>
      <c r="FR62" s="6">
        <f t="shared" si="473"/>
        <v>50.530913978494617</v>
      </c>
      <c r="FS62" s="18">
        <f t="shared" si="474"/>
        <v>78.258558366999793</v>
      </c>
      <c r="FT62" s="6">
        <f>(FV62/($FF$4*FW62))*100</f>
        <v>10.689149560117302</v>
      </c>
      <c r="FU62" s="6">
        <f t="shared" si="994"/>
        <v>744</v>
      </c>
      <c r="FV62" s="85">
        <v>4374</v>
      </c>
      <c r="FW62" s="8">
        <v>55</v>
      </c>
      <c r="FZ62" s="8">
        <v>3</v>
      </c>
      <c r="GA62" s="8">
        <f>720/2</f>
        <v>360</v>
      </c>
      <c r="GB62" s="8">
        <f>235/2</f>
        <v>117.5</v>
      </c>
      <c r="GC62" s="8">
        <f>(485+0)/2</f>
        <v>242.5</v>
      </c>
      <c r="GD62" s="8">
        <f>720/2</f>
        <v>360</v>
      </c>
      <c r="GE62" s="6">
        <f t="shared" si="995"/>
        <v>0.5</v>
      </c>
      <c r="GF62" s="8">
        <v>0</v>
      </c>
      <c r="GG62" s="8">
        <f t="shared" si="902"/>
        <v>0</v>
      </c>
      <c r="GH62" s="8">
        <v>0</v>
      </c>
      <c r="GI62" s="6">
        <f>(GH62/$FZ$4)*100</f>
        <v>0</v>
      </c>
      <c r="GJ62" s="8">
        <v>0</v>
      </c>
      <c r="GK62" s="6">
        <f>(GA62/$V$4)*100</f>
        <v>48.387096774193552</v>
      </c>
      <c r="GL62" s="6">
        <f t="shared" si="972"/>
        <v>50</v>
      </c>
      <c r="GM62" s="18">
        <f t="shared" si="973"/>
        <v>75.392670157068068</v>
      </c>
      <c r="GN62" s="6">
        <f>(GP62/($FZ$4*GQ62))*100</f>
        <v>12.795454545454547</v>
      </c>
      <c r="GO62" s="6">
        <f t="shared" si="997"/>
        <v>720</v>
      </c>
      <c r="GP62" s="85">
        <v>5067</v>
      </c>
      <c r="GQ62" s="8">
        <v>55</v>
      </c>
      <c r="GT62" s="8">
        <v>3</v>
      </c>
      <c r="GU62" s="8">
        <f>744/2</f>
        <v>372</v>
      </c>
      <c r="GV62" s="8">
        <f>61.3/2</f>
        <v>30.65</v>
      </c>
      <c r="GW62" s="8">
        <f>682.7/2</f>
        <v>341.35</v>
      </c>
      <c r="GX62" s="8">
        <f>744/2</f>
        <v>372</v>
      </c>
      <c r="GY62" s="8">
        <f t="shared" si="559"/>
        <v>50</v>
      </c>
      <c r="GZ62" s="8">
        <v>0</v>
      </c>
      <c r="HA62" s="8">
        <f t="shared" si="560"/>
        <v>0</v>
      </c>
      <c r="HB62" s="8">
        <v>0</v>
      </c>
      <c r="HC62" s="6">
        <f t="shared" ref="HC62" si="1005">(HB62/$GT$4)*100</f>
        <v>0</v>
      </c>
      <c r="HD62" s="8">
        <v>0</v>
      </c>
      <c r="HE62" s="6">
        <f t="shared" si="998"/>
        <v>50</v>
      </c>
      <c r="HF62" s="8">
        <f t="shared" si="396"/>
        <v>50</v>
      </c>
      <c r="HG62" s="6">
        <f t="shared" si="397"/>
        <v>92.387929963988583</v>
      </c>
      <c r="HH62" s="6">
        <f t="shared" si="974"/>
        <v>3.2209188660801567</v>
      </c>
      <c r="HI62" s="6">
        <f t="shared" si="999"/>
        <v>744</v>
      </c>
      <c r="HJ62" s="85">
        <v>1318</v>
      </c>
      <c r="HK62" s="8">
        <v>55</v>
      </c>
      <c r="HN62" s="8">
        <v>3</v>
      </c>
      <c r="HO62" s="8">
        <f>720/2</f>
        <v>360</v>
      </c>
      <c r="HP62" s="8">
        <f>85.8/2</f>
        <v>42.9</v>
      </c>
      <c r="HQ62" s="8">
        <f>634.2/2</f>
        <v>317.10000000000002</v>
      </c>
      <c r="HR62" s="8">
        <f>720/2</f>
        <v>360</v>
      </c>
      <c r="HS62" s="6">
        <f>(HR62/$HN$4)*100</f>
        <v>50</v>
      </c>
      <c r="HT62" s="8">
        <v>0</v>
      </c>
      <c r="HU62" s="6">
        <f>(HT62/$HN$4)*100</f>
        <v>0</v>
      </c>
      <c r="HV62" s="8">
        <v>0</v>
      </c>
      <c r="HW62" s="6">
        <f>(HV62/$HN$4)*100</f>
        <v>0</v>
      </c>
      <c r="HX62" s="8">
        <v>0</v>
      </c>
      <c r="HY62" s="6">
        <f>(HO62/$HN$4)*100</f>
        <v>50</v>
      </c>
      <c r="HZ62" s="21">
        <f>((HO62-HX62)/$HN$4)*100</f>
        <v>50</v>
      </c>
      <c r="IA62" s="21">
        <f t="shared" si="975"/>
        <v>89.352196574832462</v>
      </c>
      <c r="IB62" s="6">
        <f>(ID62/($HN$4*IE62))*100</f>
        <v>4.6098484848484844</v>
      </c>
      <c r="IC62" s="6">
        <f t="shared" si="1003"/>
        <v>720</v>
      </c>
      <c r="ID62" s="8">
        <v>1825.5</v>
      </c>
      <c r="IE62" s="8">
        <v>55</v>
      </c>
      <c r="IF62" s="15">
        <v>24</v>
      </c>
    </row>
    <row r="63" spans="1:240" ht="14.25" x14ac:dyDescent="0.25">
      <c r="B63" s="8">
        <v>4</v>
      </c>
      <c r="C63" s="8">
        <f>922/2</f>
        <v>461</v>
      </c>
      <c r="D63" s="8">
        <f>285.2/2</f>
        <v>142.6</v>
      </c>
      <c r="E63" s="8">
        <f>636.8/2</f>
        <v>318.39999999999998</v>
      </c>
      <c r="F63" s="8">
        <f>534/2</f>
        <v>267</v>
      </c>
      <c r="G63" s="6">
        <f t="shared" si="339"/>
        <v>35.887096774193552</v>
      </c>
      <c r="H63" s="8">
        <v>0</v>
      </c>
      <c r="I63" s="6">
        <f t="shared" si="340"/>
        <v>0</v>
      </c>
      <c r="J63" s="6">
        <f>32/2</f>
        <v>16</v>
      </c>
      <c r="K63" s="6">
        <f t="shared" si="961"/>
        <v>2.1505376344086025</v>
      </c>
      <c r="L63" s="8">
        <v>0</v>
      </c>
      <c r="M63" s="6">
        <f t="shared" ref="M63" si="1006">(C63/$B$4)*100</f>
        <v>61.962365591397848</v>
      </c>
      <c r="N63" s="6">
        <f t="shared" si="525"/>
        <v>61.962365591397848</v>
      </c>
      <c r="O63" s="6">
        <f t="shared" si="526"/>
        <v>65.185546875</v>
      </c>
      <c r="P63" s="6">
        <f t="shared" si="977"/>
        <v>13.539345063538613</v>
      </c>
      <c r="Q63" s="6">
        <f t="shared" si="978"/>
        <v>744</v>
      </c>
      <c r="R63" s="85">
        <v>5540.3</v>
      </c>
      <c r="S63" s="8">
        <v>55</v>
      </c>
      <c r="V63" s="8">
        <v>4</v>
      </c>
      <c r="W63" s="8">
        <f>714.5/2</f>
        <v>357.25</v>
      </c>
      <c r="X63" s="8">
        <f>351.6/2</f>
        <v>175.8</v>
      </c>
      <c r="Y63" s="8">
        <f>362.9/2</f>
        <v>181.45</v>
      </c>
      <c r="Z63" s="8">
        <f>766/2</f>
        <v>383</v>
      </c>
      <c r="AA63" s="6">
        <f t="shared" si="830"/>
        <v>51.478494623655912</v>
      </c>
      <c r="AB63" s="8">
        <v>0</v>
      </c>
      <c r="AC63" s="6">
        <f t="shared" si="830"/>
        <v>0</v>
      </c>
      <c r="AD63" s="6">
        <f>7.5/2</f>
        <v>3.75</v>
      </c>
      <c r="AE63" s="6">
        <f t="shared" si="962"/>
        <v>0.50403225806451613</v>
      </c>
      <c r="AF63" s="8">
        <v>0</v>
      </c>
      <c r="AG63" s="6">
        <f>(W63/$V$4)*100</f>
        <v>48.017473118279568</v>
      </c>
      <c r="AH63" s="6">
        <f t="shared" si="963"/>
        <v>48.017473118279568</v>
      </c>
      <c r="AI63" s="18">
        <f>IF((AND(X63=0,Z63=0)),0,(Z63+AF63)/(X63+Z63)*100)</f>
        <v>68.5397279885469</v>
      </c>
      <c r="AJ63" s="6">
        <f t="shared" si="979"/>
        <v>19.604349951124146</v>
      </c>
      <c r="AK63" s="6">
        <f t="shared" si="980"/>
        <v>744</v>
      </c>
      <c r="AL63" s="43">
        <v>8022.1</v>
      </c>
      <c r="AM63" s="8">
        <v>55</v>
      </c>
      <c r="AP63" s="8">
        <v>4</v>
      </c>
      <c r="AQ63" s="8">
        <f>677/2</f>
        <v>338.5</v>
      </c>
      <c r="AR63" s="8">
        <f>350.2/2</f>
        <v>175.1</v>
      </c>
      <c r="AS63" s="8">
        <f>326.8/2</f>
        <v>163.4</v>
      </c>
      <c r="AT63" s="8">
        <f>763/2</f>
        <v>381.5</v>
      </c>
      <c r="AU63" s="6">
        <f t="shared" si="833"/>
        <v>52.986111111111114</v>
      </c>
      <c r="AV63" s="8">
        <v>0</v>
      </c>
      <c r="AW63" s="8">
        <f t="shared" si="981"/>
        <v>0</v>
      </c>
      <c r="AX63" s="8">
        <v>0</v>
      </c>
      <c r="AY63" s="6">
        <f>(AX63/$AP$4)*100</f>
        <v>0</v>
      </c>
      <c r="AZ63" s="8">
        <v>0</v>
      </c>
      <c r="BA63" s="6">
        <f>(AQ63/$AP$4)*100</f>
        <v>47.013888888888886</v>
      </c>
      <c r="BB63" s="6">
        <f t="shared" si="964"/>
        <v>47.013888888888886</v>
      </c>
      <c r="BC63" s="15">
        <f t="shared" si="965"/>
        <v>68.541142651814596</v>
      </c>
      <c r="BD63" s="6">
        <f t="shared" si="966"/>
        <v>20.303030303030305</v>
      </c>
      <c r="BE63" s="6">
        <f t="shared" si="983"/>
        <v>720</v>
      </c>
      <c r="BF63" s="85">
        <v>8040</v>
      </c>
      <c r="BG63" s="8">
        <v>55</v>
      </c>
      <c r="BJ63" s="8">
        <v>4</v>
      </c>
      <c r="BK63" s="8">
        <f>744/2</f>
        <v>372</v>
      </c>
      <c r="BL63" s="8">
        <f>339.4/2</f>
        <v>169.7</v>
      </c>
      <c r="BM63" s="8">
        <f>404.6/2</f>
        <v>202.3</v>
      </c>
      <c r="BN63" s="8">
        <v>372</v>
      </c>
      <c r="BO63" s="6">
        <f t="shared" si="836"/>
        <v>50</v>
      </c>
      <c r="BP63" s="8">
        <v>0</v>
      </c>
      <c r="BQ63" s="6">
        <f t="shared" si="836"/>
        <v>0</v>
      </c>
      <c r="BR63" s="6">
        <v>0</v>
      </c>
      <c r="BS63" s="6">
        <f>(BR63/$BJ$4)*100</f>
        <v>0</v>
      </c>
      <c r="BT63" s="8">
        <v>0</v>
      </c>
      <c r="BU63" s="6">
        <f t="shared" si="967"/>
        <v>50</v>
      </c>
      <c r="BV63" s="6">
        <f t="shared" si="898"/>
        <v>50</v>
      </c>
      <c r="BW63" s="18">
        <f t="shared" si="899"/>
        <v>68.672697064796012</v>
      </c>
      <c r="BX63" s="6">
        <f t="shared" si="968"/>
        <v>18.939149560117301</v>
      </c>
      <c r="BY63" s="6">
        <f t="shared" si="984"/>
        <v>744</v>
      </c>
      <c r="BZ63" s="85">
        <v>7749.9</v>
      </c>
      <c r="CA63" s="8">
        <v>55</v>
      </c>
      <c r="CD63" s="8">
        <v>4</v>
      </c>
      <c r="CE63" s="8">
        <f>720/2</f>
        <v>360</v>
      </c>
      <c r="CF63" s="8">
        <f>193.4/2</f>
        <v>96.7</v>
      </c>
      <c r="CG63" s="8">
        <f>526.6/2</f>
        <v>263.3</v>
      </c>
      <c r="CH63" s="8">
        <f>720/2</f>
        <v>360</v>
      </c>
      <c r="CI63" s="6">
        <f t="shared" si="839"/>
        <v>50</v>
      </c>
      <c r="CJ63" s="8">
        <v>0</v>
      </c>
      <c r="CK63" s="8">
        <f t="shared" si="839"/>
        <v>0</v>
      </c>
      <c r="CL63" s="6">
        <v>0</v>
      </c>
      <c r="CM63" s="6">
        <f>(CL63/$CD$4)*100</f>
        <v>0</v>
      </c>
      <c r="CN63" s="8">
        <v>0</v>
      </c>
      <c r="CO63" s="6">
        <f>(CE63/$CD$4)*100</f>
        <v>50</v>
      </c>
      <c r="CP63" s="6">
        <f t="shared" si="840"/>
        <v>50</v>
      </c>
      <c r="CQ63" s="18">
        <f>IF((AND(CF63=0,CH63=0)),0,(CH63+CN63)/(CF63+CH63)*100)</f>
        <v>78.82636303919422</v>
      </c>
      <c r="CR63" s="6">
        <f t="shared" si="969"/>
        <v>10.999747474747473</v>
      </c>
      <c r="CS63" s="6">
        <f t="shared" si="986"/>
        <v>720</v>
      </c>
      <c r="CT63" s="46">
        <v>4355.8999999999996</v>
      </c>
      <c r="CU63" s="8">
        <v>55</v>
      </c>
      <c r="CX63" s="8">
        <v>4</v>
      </c>
      <c r="CY63" s="8">
        <f>744/2</f>
        <v>372</v>
      </c>
      <c r="CZ63" s="8">
        <f>299.4/2</f>
        <v>149.69999999999999</v>
      </c>
      <c r="DA63" s="8">
        <f>444.6/2</f>
        <v>222.3</v>
      </c>
      <c r="DB63" s="8">
        <f>744/2</f>
        <v>372</v>
      </c>
      <c r="DC63" s="6">
        <f t="shared" si="416"/>
        <v>50</v>
      </c>
      <c r="DD63" s="8">
        <v>0</v>
      </c>
      <c r="DE63" s="6">
        <f t="shared" si="417"/>
        <v>0</v>
      </c>
      <c r="DF63" s="6">
        <v>0</v>
      </c>
      <c r="DG63" s="6">
        <f>(DF63/$CX$4)*100</f>
        <v>0</v>
      </c>
      <c r="DH63" s="8">
        <v>0</v>
      </c>
      <c r="DI63" s="6">
        <f>(CY63/$V$4)*100</f>
        <v>50</v>
      </c>
      <c r="DJ63" s="6">
        <f t="shared" si="464"/>
        <v>50</v>
      </c>
      <c r="DK63" s="18">
        <f t="shared" si="465"/>
        <v>71.305347901092574</v>
      </c>
      <c r="DL63" s="6">
        <f t="shared" si="988"/>
        <v>16.779081133919842</v>
      </c>
      <c r="DM63" s="6">
        <f t="shared" si="989"/>
        <v>744</v>
      </c>
      <c r="DN63" s="85">
        <v>6866</v>
      </c>
      <c r="DO63" s="8">
        <v>55</v>
      </c>
      <c r="DR63" s="8">
        <v>4</v>
      </c>
      <c r="DS63" s="8">
        <f>744/2</f>
        <v>372</v>
      </c>
      <c r="DT63" s="8">
        <f>326.7/2</f>
        <v>163.35</v>
      </c>
      <c r="DU63" s="8">
        <f>417.3/2</f>
        <v>208.65</v>
      </c>
      <c r="DV63" s="8">
        <f>744/2</f>
        <v>372</v>
      </c>
      <c r="DW63" s="6">
        <f t="shared" si="420"/>
        <v>50</v>
      </c>
      <c r="DX63" s="8">
        <v>0</v>
      </c>
      <c r="DY63" s="6">
        <f t="shared" si="421"/>
        <v>0</v>
      </c>
      <c r="DZ63" s="6">
        <v>0</v>
      </c>
      <c r="EA63" s="6">
        <f>(DZ63/$DR$4)*100</f>
        <v>0</v>
      </c>
      <c r="EB63" s="8">
        <v>0</v>
      </c>
      <c r="EC63" s="6">
        <f>(DS63/$V$4)*100</f>
        <v>50</v>
      </c>
      <c r="ED63" s="6">
        <f t="shared" si="467"/>
        <v>50</v>
      </c>
      <c r="EE63" s="18">
        <f t="shared" si="468"/>
        <v>69.487251330905011</v>
      </c>
      <c r="EF63" s="6">
        <f t="shared" si="990"/>
        <v>18.563049853372434</v>
      </c>
      <c r="EG63" s="6">
        <f t="shared" si="991"/>
        <v>744</v>
      </c>
      <c r="EH63" s="85">
        <v>7596</v>
      </c>
      <c r="EI63" s="8">
        <v>55</v>
      </c>
      <c r="EL63" s="8">
        <v>4</v>
      </c>
      <c r="EM63" s="8">
        <f>672/2</f>
        <v>336</v>
      </c>
      <c r="EN63" s="8">
        <f>184/2</f>
        <v>92</v>
      </c>
      <c r="EO63" s="8">
        <f>488/2</f>
        <v>244</v>
      </c>
      <c r="EP63" s="8">
        <f>672/2</f>
        <v>336</v>
      </c>
      <c r="EQ63" s="6">
        <f t="shared" si="424"/>
        <v>50</v>
      </c>
      <c r="ER63" s="8">
        <v>0</v>
      </c>
      <c r="ES63" s="6">
        <f t="shared" si="425"/>
        <v>0</v>
      </c>
      <c r="ET63" s="6">
        <v>0</v>
      </c>
      <c r="EU63" s="6">
        <f>(ET63/$EL$4)*100</f>
        <v>0</v>
      </c>
      <c r="EV63" s="8">
        <v>0</v>
      </c>
      <c r="EW63" s="6">
        <f>(EM63/$V$4)*100</f>
        <v>45.161290322580641</v>
      </c>
      <c r="EX63" s="6">
        <f t="shared" si="469"/>
        <v>50</v>
      </c>
      <c r="EY63" s="18">
        <f t="shared" si="470"/>
        <v>78.504672897196258</v>
      </c>
      <c r="EZ63" s="6">
        <f t="shared" si="970"/>
        <v>11.594155844155845</v>
      </c>
      <c r="FA63" s="6">
        <f t="shared" si="992"/>
        <v>672</v>
      </c>
      <c r="FB63" s="85">
        <v>4285.2</v>
      </c>
      <c r="FC63" s="8">
        <v>55</v>
      </c>
      <c r="FF63" s="8">
        <v>4</v>
      </c>
      <c r="FG63" s="8">
        <f>744/2</f>
        <v>372</v>
      </c>
      <c r="FH63" s="8">
        <f>210/2</f>
        <v>105</v>
      </c>
      <c r="FI63" s="8">
        <f>534/2</f>
        <v>267</v>
      </c>
      <c r="FJ63" s="8">
        <f>744/2</f>
        <v>372</v>
      </c>
      <c r="FK63" s="6">
        <f t="shared" si="439"/>
        <v>50</v>
      </c>
      <c r="FL63" s="8">
        <v>0</v>
      </c>
      <c r="FM63" s="6">
        <f t="shared" si="440"/>
        <v>0</v>
      </c>
      <c r="FN63" s="6">
        <v>0</v>
      </c>
      <c r="FO63" s="6">
        <f t="shared" si="971"/>
        <v>0</v>
      </c>
      <c r="FP63" s="8">
        <v>0</v>
      </c>
      <c r="FQ63" s="6">
        <f>(FG63/$V$4)*100</f>
        <v>50</v>
      </c>
      <c r="FR63" s="6">
        <f t="shared" si="473"/>
        <v>50</v>
      </c>
      <c r="FS63" s="18">
        <f t="shared" si="474"/>
        <v>77.987421383647799</v>
      </c>
      <c r="FT63" s="6">
        <f>(FV63/($FF$4*FW63))*100</f>
        <v>11.756598240469209</v>
      </c>
      <c r="FU63" s="6">
        <f t="shared" si="994"/>
        <v>744</v>
      </c>
      <c r="FV63" s="85">
        <v>4810.8</v>
      </c>
      <c r="FW63" s="8">
        <v>55</v>
      </c>
      <c r="FZ63" s="8">
        <v>4</v>
      </c>
      <c r="GA63" s="8">
        <f>720/2</f>
        <v>360</v>
      </c>
      <c r="GB63" s="8">
        <f>224.3/2</f>
        <v>112.15</v>
      </c>
      <c r="GC63" s="8">
        <f>(495.7+0)/2</f>
        <v>247.85</v>
      </c>
      <c r="GD63" s="8">
        <f>720/2</f>
        <v>360</v>
      </c>
      <c r="GE63" s="6">
        <f t="shared" si="995"/>
        <v>0.5</v>
      </c>
      <c r="GF63" s="8">
        <v>0</v>
      </c>
      <c r="GG63" s="8">
        <f t="shared" si="902"/>
        <v>0</v>
      </c>
      <c r="GH63" s="8">
        <v>0</v>
      </c>
      <c r="GI63" s="6">
        <f>(GH63/$FZ$4)*100</f>
        <v>0</v>
      </c>
      <c r="GJ63" s="8">
        <v>0</v>
      </c>
      <c r="GK63" s="6">
        <f>(GA63/$V$4)*100</f>
        <v>48.387096774193552</v>
      </c>
      <c r="GL63" s="6">
        <f t="shared" si="972"/>
        <v>50</v>
      </c>
      <c r="GM63" s="18">
        <f t="shared" si="973"/>
        <v>76.24695541671079</v>
      </c>
      <c r="GN63" s="6">
        <f>(GP63/($FZ$4*GQ63))*100</f>
        <v>12.844949494949494</v>
      </c>
      <c r="GO63" s="6">
        <f t="shared" si="997"/>
        <v>720</v>
      </c>
      <c r="GP63" s="85">
        <v>5086.6000000000004</v>
      </c>
      <c r="GQ63" s="8">
        <v>55</v>
      </c>
      <c r="GT63" s="8">
        <v>4</v>
      </c>
      <c r="GU63" s="8">
        <f>744/2</f>
        <v>372</v>
      </c>
      <c r="GV63" s="8">
        <f>54.8/2</f>
        <v>27.4</v>
      </c>
      <c r="GW63" s="8">
        <f>689.2/2</f>
        <v>344.6</v>
      </c>
      <c r="GX63" s="8">
        <f>744/2</f>
        <v>372</v>
      </c>
      <c r="GY63" s="8">
        <f t="shared" si="559"/>
        <v>50</v>
      </c>
      <c r="GZ63" s="8">
        <v>0</v>
      </c>
      <c r="HA63" s="8">
        <f t="shared" si="560"/>
        <v>0</v>
      </c>
      <c r="HB63" s="8">
        <v>0</v>
      </c>
      <c r="HC63" s="6">
        <f>(HB63/$GT$4)*100</f>
        <v>0</v>
      </c>
      <c r="HD63" s="8">
        <v>0</v>
      </c>
      <c r="HE63" s="6">
        <f t="shared" si="998"/>
        <v>50</v>
      </c>
      <c r="HF63" s="8">
        <f t="shared" si="396"/>
        <v>50</v>
      </c>
      <c r="HG63" s="6">
        <f t="shared" si="397"/>
        <v>93.139709564346532</v>
      </c>
      <c r="HH63" s="6">
        <f t="shared" si="974"/>
        <v>2.9838709677419355</v>
      </c>
      <c r="HI63" s="6">
        <f t="shared" si="999"/>
        <v>744</v>
      </c>
      <c r="HJ63" s="85">
        <v>1221</v>
      </c>
      <c r="HK63" s="8">
        <v>55</v>
      </c>
      <c r="HN63" s="8">
        <v>4</v>
      </c>
      <c r="HO63" s="8">
        <f>720/2</f>
        <v>360</v>
      </c>
      <c r="HP63" s="8">
        <f>82.2/2</f>
        <v>41.1</v>
      </c>
      <c r="HQ63" s="8">
        <f>637.8/2</f>
        <v>318.89999999999998</v>
      </c>
      <c r="HR63" s="8">
        <f>720/2</f>
        <v>360</v>
      </c>
      <c r="HS63" s="6">
        <f>(HR63/$HN$4)*100</f>
        <v>50</v>
      </c>
      <c r="HT63" s="8">
        <v>0</v>
      </c>
      <c r="HU63" s="6">
        <f>(HT63/$HN$4)*100</f>
        <v>0</v>
      </c>
      <c r="HV63" s="8">
        <v>0</v>
      </c>
      <c r="HW63" s="6">
        <f>(HV63/$HN$4)*100</f>
        <v>0</v>
      </c>
      <c r="HX63" s="8">
        <v>0</v>
      </c>
      <c r="HY63" s="6">
        <f>(HO63/$HN$4)*100</f>
        <v>50</v>
      </c>
      <c r="HZ63" s="21">
        <f>((HO63-HX63)/$HN$4)*100</f>
        <v>50</v>
      </c>
      <c r="IA63" s="21">
        <f t="shared" si="975"/>
        <v>89.75317875841435</v>
      </c>
      <c r="IB63" s="6">
        <f>(ID63/($HN$4*IE63))*100</f>
        <v>4.7042929292929294</v>
      </c>
      <c r="IC63" s="6">
        <f t="shared" si="1003"/>
        <v>720</v>
      </c>
      <c r="ID63" s="8">
        <v>1862.9</v>
      </c>
      <c r="IE63" s="8">
        <v>55</v>
      </c>
      <c r="IF63" s="15">
        <v>24</v>
      </c>
    </row>
    <row r="64" spans="1:240" ht="15" x14ac:dyDescent="0.25">
      <c r="B64" s="24" t="s">
        <v>39</v>
      </c>
      <c r="C64" s="25">
        <f>SUM(C60:C63)</f>
        <v>2247.5</v>
      </c>
      <c r="D64" s="25">
        <f t="shared" ref="D64:L64" si="1007">SUM(D60:D63)</f>
        <v>816.55000000000007</v>
      </c>
      <c r="E64" s="25">
        <f>SUM(E60:E63)</f>
        <v>1430.9499999999998</v>
      </c>
      <c r="F64" s="25">
        <f t="shared" si="1007"/>
        <v>691.5</v>
      </c>
      <c r="G64" s="26">
        <f>(G60*S60+G61*S61+G62*S62+G63*S63)/S64</f>
        <v>23.235887096774196</v>
      </c>
      <c r="H64" s="25">
        <f t="shared" si="1007"/>
        <v>0</v>
      </c>
      <c r="I64" s="26">
        <f>(I60*S60+I61*S61+I62*S62+I63*S63)/S64</f>
        <v>0</v>
      </c>
      <c r="J64" s="26">
        <f>SUM(J60:J63)</f>
        <v>37</v>
      </c>
      <c r="K64" s="26">
        <f>(K60*S60+K61*S61+K62*S62+K63*S63)/S64</f>
        <v>1.2432795698924732</v>
      </c>
      <c r="L64" s="25">
        <f t="shared" si="1007"/>
        <v>0</v>
      </c>
      <c r="M64" s="26">
        <f>(M60*S60+M61*S61+M62*S62+M63*S63)/S64</f>
        <v>75.520833333333329</v>
      </c>
      <c r="N64" s="7">
        <f>(N60*S60+N61*S61+N62*S62+N63*S63)/S64</f>
        <v>75.520833333333329</v>
      </c>
      <c r="O64" s="7">
        <f>(O60*S60+O61*S61+O62*S62+O63*S63)/S64</f>
        <v>36.632690254248708</v>
      </c>
      <c r="P64" s="7">
        <f>(P60*S60+P61*S61+P62*S62+P63*S63)/S64</f>
        <v>21.463709677419356</v>
      </c>
      <c r="Q64" s="30">
        <f>SUM(Q60:Q63)</f>
        <v>2976</v>
      </c>
      <c r="R64" s="96">
        <f>SUM(R60:R63)</f>
        <v>35131.799999999996</v>
      </c>
      <c r="S64" s="25">
        <f>SUM(S60:S63)</f>
        <v>220</v>
      </c>
      <c r="V64" s="32" t="s">
        <v>39</v>
      </c>
      <c r="W64" s="29">
        <f>SUM(W60:W63)</f>
        <v>2179.875</v>
      </c>
      <c r="X64" s="29">
        <f t="shared" ref="X64:AF64" si="1008">SUM(X60:X63)</f>
        <v>1190.5999999999999</v>
      </c>
      <c r="Y64" s="29">
        <f>SUM(Y60:Y63)</f>
        <v>989.27500000000009</v>
      </c>
      <c r="Z64" s="29">
        <f t="shared" si="1008"/>
        <v>789</v>
      </c>
      <c r="AA64" s="30">
        <f>(AA60*AM60+AA61*AM61+AA62*AM62+AA63*AM63)/AM64</f>
        <v>26.512096774193544</v>
      </c>
      <c r="AB64" s="29">
        <f t="shared" si="1008"/>
        <v>0</v>
      </c>
      <c r="AC64" s="30">
        <f>(AC60*AM60+AC61*AM61+AC62*AM62+AC63*AM63)/AM64</f>
        <v>0</v>
      </c>
      <c r="AD64" s="30">
        <f>SUM(AD60:AD63)</f>
        <v>7.125</v>
      </c>
      <c r="AE64" s="30">
        <f>(AE60*AM60+AE61*AM61+AE62*AM62+AE63*AM63)/AM64</f>
        <v>0.23941532258064516</v>
      </c>
      <c r="AF64" s="29">
        <f t="shared" si="1008"/>
        <v>0</v>
      </c>
      <c r="AG64" s="26">
        <f>(AG60*AM60+AG61*AM61+AG62*AM62+AG63*AM63)/AM64</f>
        <v>73.248487903225808</v>
      </c>
      <c r="AH64" s="30">
        <f>(AH60*AM60+AH61*AM61+AH62*AM62+AH63*AM63)/AM64</f>
        <v>73.248487903225808</v>
      </c>
      <c r="AI64" s="30">
        <f>(AI60*AM60+AI61*AM61+AI62*AM62+AI63*AM63)/AM64</f>
        <v>35.549062093897234</v>
      </c>
      <c r="AJ64" s="7">
        <f>(AJ60*AM60+AJ61*AM61+AJ62*AM62+AJ63*AM63)/AM64</f>
        <v>30.727761485826001</v>
      </c>
      <c r="AK64" s="30">
        <f>SUM(AK60:AK63)</f>
        <v>2976</v>
      </c>
      <c r="AL64" s="89">
        <f>SUM(AL60:AL63)</f>
        <v>50295.200000000004</v>
      </c>
      <c r="AM64" s="29">
        <f>SUM(AM60:AM63)</f>
        <v>220</v>
      </c>
      <c r="AP64" s="32" t="s">
        <v>39</v>
      </c>
      <c r="AQ64" s="29">
        <f>SUM(AQ60:AQ63)</f>
        <v>2105.375</v>
      </c>
      <c r="AR64" s="29">
        <f t="shared" ref="AR64:AZ64" si="1009">SUM(AR60:AR63)</f>
        <v>1113.8</v>
      </c>
      <c r="AS64" s="30">
        <f>SUM(AS60:AS63)</f>
        <v>991.57499999999993</v>
      </c>
      <c r="AT64" s="29">
        <f t="shared" si="1009"/>
        <v>770.625</v>
      </c>
      <c r="AU64" s="30">
        <f>(AU60*BG60+AU61*BG61+AU62*BG62+AU63*BG63)/BG64</f>
        <v>26.7578125</v>
      </c>
      <c r="AV64" s="29">
        <f t="shared" si="1009"/>
        <v>0</v>
      </c>
      <c r="AW64" s="30">
        <f>(AW60*BG60+AW61*BG61+AW62*BG62+AW63*BG63)/BG64</f>
        <v>0</v>
      </c>
      <c r="AX64" s="30">
        <f>SUM(AX60:AX63)</f>
        <v>4</v>
      </c>
      <c r="AY64" s="30">
        <f>(AY60*BG60+AY61*BG61+AY62*BG62+AY63*BG63)/BG64</f>
        <v>0.1388888888888889</v>
      </c>
      <c r="AZ64" s="29">
        <f t="shared" si="1009"/>
        <v>0</v>
      </c>
      <c r="BA64" s="26">
        <f>(BA60*BG60+BA61*BG61+BA62*BG62+BA63*BG63)/BG64</f>
        <v>73.1032986111111</v>
      </c>
      <c r="BB64" s="30">
        <f>(BB60*BG60+BB61*BG61+BB62*BG62+BB63*BG63)/BG64</f>
        <v>73.1032986111111</v>
      </c>
      <c r="BC64" s="30">
        <f>(BC60*BG60+BC61*BG61+BC62*BG62+BC63*BG63)/BG64</f>
        <v>35.01145604428131</v>
      </c>
      <c r="BD64" s="7">
        <f>(BD60*BG60+BD61*BG61+BD62*BG62+BD63*BG63)/BG64</f>
        <v>30.466729797979799</v>
      </c>
      <c r="BE64" s="30">
        <f>SUM(BE60:BE63)</f>
        <v>2880</v>
      </c>
      <c r="BF64" s="88">
        <f>SUM(BF60:BF63)</f>
        <v>48259.3</v>
      </c>
      <c r="BG64" s="29">
        <f>SUM(BG60:BG63)</f>
        <v>220</v>
      </c>
      <c r="BJ64" s="32" t="s">
        <v>39</v>
      </c>
      <c r="BK64" s="29">
        <f>SUM(BK60:BK63)</f>
        <v>2167</v>
      </c>
      <c r="BL64" s="29">
        <f t="shared" ref="BL64:BT64" si="1010">SUM(BL60:BL63)</f>
        <v>1095.3999999999999</v>
      </c>
      <c r="BM64" s="29">
        <f>SUM(BM60:BM63)</f>
        <v>1071.6000000000001</v>
      </c>
      <c r="BN64" s="29">
        <f t="shared" si="1010"/>
        <v>744</v>
      </c>
      <c r="BO64" s="30">
        <f>(BO60*CA60+BO61*CA61+BO62*CA62+BO63*CA63)/CA64</f>
        <v>25</v>
      </c>
      <c r="BP64" s="29">
        <f t="shared" si="1010"/>
        <v>65</v>
      </c>
      <c r="BQ64" s="30">
        <f>(BQ60*CA60+BQ61*CA61+BQ62*CA62+BQ63*CA63)/CA64</f>
        <v>2.1841397849462365</v>
      </c>
      <c r="BR64" s="30">
        <f>SUM(BR60:BR63)</f>
        <v>0</v>
      </c>
      <c r="BS64" s="30">
        <f>(BS60*CA60+BS61*CA61+BS62*CA62+BS63*CA63)/CA64</f>
        <v>0</v>
      </c>
      <c r="BT64" s="29">
        <f t="shared" si="1010"/>
        <v>0</v>
      </c>
      <c r="BU64" s="26">
        <f>(BU60*CA60+BU61*CA61+BU62*CA62+BU63*CA63)/CA64</f>
        <v>72.81586021505376</v>
      </c>
      <c r="BV64" s="30">
        <f>(BV60*CA60+BV61*CA61+BV62*CA62+BV63*CA63)/CA64</f>
        <v>72.81586021505376</v>
      </c>
      <c r="BW64" s="30">
        <f>(BW60*CA60+BW61*CA61+BW62*CA62+BW63*CA63)/CA64</f>
        <v>35.820400499652671</v>
      </c>
      <c r="BX64" s="7">
        <f>(BX60*CA60+BX61*CA61+BX62*CA62+BX63*CA63)/CA64</f>
        <v>29.534274193548391</v>
      </c>
      <c r="BY64" s="30">
        <f>SUM(BY60:BY63)</f>
        <v>2976</v>
      </c>
      <c r="BZ64" s="88">
        <f>SUM(BZ60:BZ63)</f>
        <v>48341.700000000004</v>
      </c>
      <c r="CA64" s="29">
        <f>SUM(CA60:CA63)</f>
        <v>220</v>
      </c>
      <c r="CD64" s="32" t="s">
        <v>39</v>
      </c>
      <c r="CE64" s="29">
        <f>SUM(CE60:CE63)</f>
        <v>2088</v>
      </c>
      <c r="CF64" s="29">
        <f t="shared" ref="CF64:CN64" si="1011">SUM(CF60:CF63)</f>
        <v>747.45</v>
      </c>
      <c r="CG64" s="29">
        <f>SUM(CG60:CG63)</f>
        <v>1340.55</v>
      </c>
      <c r="CH64" s="29">
        <f t="shared" si="1011"/>
        <v>720</v>
      </c>
      <c r="CI64" s="30">
        <f>(CI60*CU60+CI61*CU61+CI62*CU62+CI63*CU63)/CU64</f>
        <v>25</v>
      </c>
      <c r="CJ64" s="29">
        <f t="shared" si="1011"/>
        <v>72</v>
      </c>
      <c r="CK64" s="30">
        <f>(CK60*CU60+CK61*CU61+CK62*CU62+CK63*CU63)/CU64</f>
        <v>2.4999999999999996</v>
      </c>
      <c r="CL64" s="30">
        <f>SUM(CL60:CL63)</f>
        <v>0</v>
      </c>
      <c r="CM64" s="26">
        <f>(CM60*CU60+CM61*CU61+CM62*CU62+CM63*CU63)/CU64</f>
        <v>0</v>
      </c>
      <c r="CN64" s="29">
        <f t="shared" si="1011"/>
        <v>0</v>
      </c>
      <c r="CO64" s="26">
        <f>(CO60*CU60+CO61*CU61+CO62*CU62+CO63*CU63)/CU64</f>
        <v>72.5</v>
      </c>
      <c r="CP64" s="30">
        <f>(CP60*CU60+CP61*CU61+CP62*CU62+CP63*CU63)/CU64</f>
        <v>72.5</v>
      </c>
      <c r="CQ64" s="30">
        <f>(CQ60*CU60+CQ61*CU61+CQ62*CU62+CQ63*CU63)/CU64</f>
        <v>39.094785503443539</v>
      </c>
      <c r="CR64" s="7">
        <f>(CR60*CU60+CR61*CU61+CR62*CU62+CR63*CU63)/CU64</f>
        <v>20.358522727272728</v>
      </c>
      <c r="CS64" s="30">
        <f>SUM(CS60:CS63)</f>
        <v>2880</v>
      </c>
      <c r="CT64" s="47">
        <f>SUM(CT60:CT63)</f>
        <v>32247.9</v>
      </c>
      <c r="CU64" s="29">
        <f>SUM(CU60:CU63)</f>
        <v>220</v>
      </c>
      <c r="CX64" s="32" t="s">
        <v>39</v>
      </c>
      <c r="CY64" s="29">
        <f>SUM(CY60:CY63)</f>
        <v>2182.5</v>
      </c>
      <c r="CZ64" s="29">
        <f t="shared" ref="CZ64:DH64" si="1012">SUM(CZ60:CZ63)</f>
        <v>949.7</v>
      </c>
      <c r="DA64" s="29">
        <f>SUM(DA60:DA63)</f>
        <v>1232.8</v>
      </c>
      <c r="DB64" s="29">
        <f t="shared" si="1012"/>
        <v>784.1</v>
      </c>
      <c r="DC64" s="30">
        <f>(DC60*DO60+DC61*DO61+DC62*DO62+DC63*DO63)/DO64</f>
        <v>26.347446236559136</v>
      </c>
      <c r="DD64" s="29">
        <f t="shared" si="1012"/>
        <v>9.4</v>
      </c>
      <c r="DE64" s="30">
        <f>(DE60*DO60+DE61*DO61+DE62*DO62+DE63*DO63)/DO64</f>
        <v>0.31586021505376344</v>
      </c>
      <c r="DF64" s="30">
        <f>SUM(DF60:DF63)</f>
        <v>0</v>
      </c>
      <c r="DG64" s="30">
        <f>(DG60*DO60+DG61*DO61+DG62*DO62+DG63*DO63)/DO64</f>
        <v>0</v>
      </c>
      <c r="DH64" s="29">
        <f t="shared" si="1012"/>
        <v>0</v>
      </c>
      <c r="DI64" s="26">
        <f>(DI60*DO60+DI61*DO61+DI62*DO62+DI63*DO63)/DO64</f>
        <v>73.336693548387103</v>
      </c>
      <c r="DJ64" s="30">
        <f>(DJ60*DO60+DJ61*DO61+DJ62*DO62+DJ63*DO63)/DO64</f>
        <v>73.336693548387103</v>
      </c>
      <c r="DK64" s="30">
        <f>(DK60*DO60+DK61*DO61+DK62*DO62+DK63*DO63)/DO64</f>
        <v>38.683792506956202</v>
      </c>
      <c r="DL64" s="7">
        <f>(DL60*DO60+DL61*DO61+DL62*DO62+DL63*DO63)/DO64</f>
        <v>25.829606549364616</v>
      </c>
      <c r="DM64" s="30">
        <f>SUM(DM60:DM63)</f>
        <v>2976</v>
      </c>
      <c r="DN64" s="88">
        <f>SUM(DN60:DN63)</f>
        <v>42277.9</v>
      </c>
      <c r="DO64" s="29">
        <f>SUM(DO60:DO63)</f>
        <v>220</v>
      </c>
      <c r="DR64" s="32" t="s">
        <v>39</v>
      </c>
      <c r="DS64" s="29">
        <f>SUM(DS60:DS63)</f>
        <v>2232</v>
      </c>
      <c r="DT64" s="29">
        <f t="shared" ref="DT64:EB64" si="1013">SUM(DT60:DT63)</f>
        <v>951.7</v>
      </c>
      <c r="DU64" s="29">
        <f>SUM(DU60:DU63)</f>
        <v>1280.3</v>
      </c>
      <c r="DV64" s="29">
        <f t="shared" si="1013"/>
        <v>744</v>
      </c>
      <c r="DW64" s="30">
        <f>(DW60*EI60+DW61*EI61+DW62*EI62+DW63*EI63)/EI64</f>
        <v>25</v>
      </c>
      <c r="DX64" s="29">
        <f t="shared" si="1013"/>
        <v>0</v>
      </c>
      <c r="DY64" s="30">
        <f>(DY60*EI60+DY61*EI61+DY62*EI62+DY63*EI63)/EI64</f>
        <v>0</v>
      </c>
      <c r="DZ64" s="30">
        <f>SUM(DZ60:DZ63)</f>
        <v>0</v>
      </c>
      <c r="EA64" s="30">
        <f>(EA60*EI60+EA61*EI61+EA62*EI62+EA63*EI63)/EI64</f>
        <v>0</v>
      </c>
      <c r="EB64" s="29">
        <f t="shared" si="1013"/>
        <v>0</v>
      </c>
      <c r="EC64" s="26">
        <f>(EC60*EI60+EC61*EI61+EC62*EI62+EC63*EI63)/EI64</f>
        <v>75</v>
      </c>
      <c r="ED64" s="30">
        <f>(ED60*EI60+ED61*EI61+ED62*EI62+ED63*EI63)/EI64</f>
        <v>75</v>
      </c>
      <c r="EE64" s="30">
        <f>(EE60*EI60+EE61*EI61+EE62*EI62+EE63*EI63)/EI64</f>
        <v>35.123292122667088</v>
      </c>
      <c r="EF64" s="7">
        <f>(EF60*EI60+EF61*EI61+EF62*EI62+EF63*EI63)/EI64</f>
        <v>25.663062072336267</v>
      </c>
      <c r="EG64" s="30">
        <f>SUM(EG60:EG63)</f>
        <v>2976</v>
      </c>
      <c r="EH64" s="88">
        <f>SUM(EH60:EH63)</f>
        <v>42005.3</v>
      </c>
      <c r="EI64" s="29">
        <f>SUM(EI60:EI63)</f>
        <v>220</v>
      </c>
      <c r="EL64" s="24" t="s">
        <v>39</v>
      </c>
      <c r="EM64" s="29">
        <f>SUM(EM60:EM63)</f>
        <v>1522.5</v>
      </c>
      <c r="EN64" s="29">
        <f t="shared" ref="EN64:EV64" si="1014">SUM(EN60:EN63)</f>
        <v>403.65</v>
      </c>
      <c r="EO64" s="29">
        <f>SUM(EO60:EO63)</f>
        <v>1118.8499999999999</v>
      </c>
      <c r="EP64" s="29">
        <f t="shared" si="1014"/>
        <v>1165.5</v>
      </c>
      <c r="EQ64" s="30">
        <f>(EQ60*FC60+EQ61*FC61+EQ62*FC62+EQ63*FC63)/FC64</f>
        <v>43.359375</v>
      </c>
      <c r="ER64" s="29">
        <f t="shared" si="1014"/>
        <v>0</v>
      </c>
      <c r="ES64" s="30">
        <f>(ES60*FC60+ES61*FC61+ES62*FC62+ES63*FC63)/FC64</f>
        <v>0</v>
      </c>
      <c r="ET64" s="30">
        <f>SUM(ET60:ET63)</f>
        <v>0</v>
      </c>
      <c r="EU64" s="30">
        <f>(EU60*FC60+EU61*FC61+EU62*FC62+EU63*FC63)/FC64</f>
        <v>0</v>
      </c>
      <c r="EV64" s="29">
        <f t="shared" si="1014"/>
        <v>0</v>
      </c>
      <c r="EW64" s="26">
        <f>(EW60*FC60+EW61*FC61+EW62*FC62+EW63*FC63)/FC64</f>
        <v>51.159274193548384</v>
      </c>
      <c r="EX64" s="30">
        <f>(EX60*FC60+EX61*FC61+EX62*FC62+EX63*FC63)/FC64</f>
        <v>56.640625</v>
      </c>
      <c r="EY64" s="30">
        <f>(EY60*FC60+EY61*FC61+EY62*FC62+EY63*FC63)/FC64</f>
        <v>64.195384510360796</v>
      </c>
      <c r="EZ64" s="7">
        <f>(EZ60*FC60+EZ61*FC61+EZ62*FC62+EZ63*FC63)/FC64</f>
        <v>12.533008658008658</v>
      </c>
      <c r="FA64" s="30">
        <f>SUM(FA60:FA63)</f>
        <v>2688</v>
      </c>
      <c r="FB64" s="88">
        <f>SUM(FB60:FB63)</f>
        <v>18528.8</v>
      </c>
      <c r="FC64" s="29">
        <f>SUM(FC60:FC63)</f>
        <v>220</v>
      </c>
      <c r="FF64" s="32" t="s">
        <v>39</v>
      </c>
      <c r="FG64" s="29">
        <f>SUM(FG60:FG63)</f>
        <v>1491.95</v>
      </c>
      <c r="FH64" s="29">
        <f t="shared" ref="FH64:FP64" si="1015">SUM(FH60:FH63)</f>
        <v>470.85</v>
      </c>
      <c r="FI64" s="29">
        <f>SUM(FI60:FI63)</f>
        <v>1021.0999999999999</v>
      </c>
      <c r="FJ64" s="29">
        <f t="shared" si="1015"/>
        <v>1484.05</v>
      </c>
      <c r="FK64" s="30">
        <f>(FK60*FW60+FK61*FW61+FK62*FW62+FK63*FW63)/FW64</f>
        <v>49.867271505376351</v>
      </c>
      <c r="FL64" s="29">
        <f t="shared" si="1015"/>
        <v>0</v>
      </c>
      <c r="FM64" s="30">
        <f>(FM60*FW60+FM61*FW61+FM62*FW62+FM63*FW63)/FW64</f>
        <v>0</v>
      </c>
      <c r="FN64" s="30">
        <f>SUM(FN60:FN63)</f>
        <v>0</v>
      </c>
      <c r="FO64" s="30">
        <f>(FO60*FW60+FO61*FW61+FO62*FW62+FO63*FW63)/FW64</f>
        <v>0</v>
      </c>
      <c r="FP64" s="29">
        <f t="shared" si="1015"/>
        <v>0</v>
      </c>
      <c r="FQ64" s="26">
        <f>(FQ60*FW60+FQ61*FW61+FQ62*FW62+FQ63*FW63)/FW64</f>
        <v>50.132728494623649</v>
      </c>
      <c r="FR64" s="30">
        <f>(FR60*FW60+FR61*FW61+FR62*FW62+FR63*FW63)/FW64</f>
        <v>50.132728494623649</v>
      </c>
      <c r="FS64" s="30">
        <f>(FS60*FW60+FS61*FW61+FS62*FW62+FS63*FW63)/FW64</f>
        <v>64.061494937661905</v>
      </c>
      <c r="FT64" s="7">
        <f>(FT60*FW60+FT61*FW61+FT62*FW62+FT63*FW63)/FW64</f>
        <v>13.214565004887582</v>
      </c>
      <c r="FU64" s="30">
        <f>SUM(FU60:FU63)</f>
        <v>2976</v>
      </c>
      <c r="FV64" s="88">
        <f>SUM(FV60:FV63)</f>
        <v>21629.599999999999</v>
      </c>
      <c r="FW64" s="29">
        <f>SUM(FW60:FW63)</f>
        <v>220</v>
      </c>
      <c r="FZ64" s="32" t="s">
        <v>39</v>
      </c>
      <c r="GA64" s="29">
        <f>SUM(GA60:GA63)</f>
        <v>1440</v>
      </c>
      <c r="GB64" s="29">
        <f t="shared" ref="GB64:GJ64" si="1016">SUM(GB60:GB63)</f>
        <v>474.6</v>
      </c>
      <c r="GC64" s="29">
        <f>SUM(GC60:GC63)</f>
        <v>965.4</v>
      </c>
      <c r="GD64" s="29">
        <f t="shared" si="1016"/>
        <v>1440</v>
      </c>
      <c r="GE64" s="79">
        <f>(GE60*GQ60+GE61*GQ61+GE62*GQ62+GE63*GQ63)/GQ64</f>
        <v>0.5</v>
      </c>
      <c r="GF64" s="29">
        <f t="shared" si="1016"/>
        <v>0</v>
      </c>
      <c r="GG64" s="30">
        <f>(GG60*GQ60+GG61*GQ61+GG62*GQ62+GG63*GQ63)/GQ64</f>
        <v>0</v>
      </c>
      <c r="GH64" s="30">
        <f>SUM(GH60:GH63)</f>
        <v>0</v>
      </c>
      <c r="GI64" s="26">
        <f>(GI60*GQ60+GI61*GQ61+GI62*GQ62+GI63*GQ63)/GQ64</f>
        <v>0</v>
      </c>
      <c r="GJ64" s="29">
        <f t="shared" si="1016"/>
        <v>0</v>
      </c>
      <c r="GK64" s="26">
        <f>(GK60*GQ60+GK61*GQ61+GK62*GQ62+GK63*GQ63)/GQ64</f>
        <v>48.387096774193552</v>
      </c>
      <c r="GL64" s="30">
        <f>(GL60*GQ60+GL61*GQ61+GL62*GQ62+GL63*GQ63)/GQ64</f>
        <v>50</v>
      </c>
      <c r="GM64" s="30">
        <f>(GM60*GQ60+GM61*GQ61+GM62*GQ62+GM63*GQ63)/GQ64</f>
        <v>62.909906393444707</v>
      </c>
      <c r="GN64" s="193">
        <f>(GN60*GQ60+GN61*GQ61+GN62*GQ62+GN63*GQ63)/GQ64</f>
        <v>13.619128787878788</v>
      </c>
      <c r="GO64" s="30">
        <f>SUM(GO60:GO63)</f>
        <v>2880</v>
      </c>
      <c r="GP64" s="88">
        <f>SUM(GP60:GP63)</f>
        <v>21572.699999999997</v>
      </c>
      <c r="GQ64" s="29">
        <f>SUM(GQ60:GQ63)</f>
        <v>220</v>
      </c>
      <c r="GT64" s="24" t="s">
        <v>39</v>
      </c>
      <c r="GU64" s="29">
        <f>SUM(GU60:GU63)</f>
        <v>1488</v>
      </c>
      <c r="GV64" s="29">
        <f t="shared" ref="GV64:HD64" si="1017">SUM(GV60:GV63)</f>
        <v>124.75</v>
      </c>
      <c r="GW64" s="29">
        <f>SUM(GW60:GW63)</f>
        <v>1363.25</v>
      </c>
      <c r="GX64" s="29">
        <f t="shared" si="1017"/>
        <v>1488</v>
      </c>
      <c r="GY64" s="30">
        <f>(GY60*HK60+GY61*HK61+GY62*HK62+GY63*HK63)/HK64</f>
        <v>50</v>
      </c>
      <c r="GZ64" s="29">
        <f t="shared" si="1017"/>
        <v>0</v>
      </c>
      <c r="HA64" s="30">
        <f>(HA60*HK60+HA61*HK61+HA62*HK62+HA63*HK63)/HK64</f>
        <v>0</v>
      </c>
      <c r="HB64" s="30">
        <f>SUM(HB60:HB63)</f>
        <v>0</v>
      </c>
      <c r="HC64" s="26">
        <f>(HC60*HK60+HC61*HK61+HC62*HK62+HC63*HK63)/HK64</f>
        <v>0</v>
      </c>
      <c r="HD64" s="29">
        <f t="shared" si="1017"/>
        <v>0</v>
      </c>
      <c r="HE64" s="26">
        <f>(HE60*HK60+HE61*HK61+HE62*HK62+HE63*HK63)/HK64</f>
        <v>50</v>
      </c>
      <c r="HF64" s="196">
        <f>(HF60*HK60+HF61*HK61+HF62*HK62+HF63*HK63)/HK64</f>
        <v>50</v>
      </c>
      <c r="HG64" s="30">
        <f>(HG60*HK60+HG61*HK61+HG62*HK62+HG63*HK63)/HK64</f>
        <v>71.381909882083775</v>
      </c>
      <c r="HH64" s="193">
        <f>(HH60*HK60+HH61*HK61+HH62*HK62+HH63*HK63)/HK64</f>
        <v>3.4189271749755621</v>
      </c>
      <c r="HI64" s="30">
        <f>SUM(HI60:HI63)</f>
        <v>2976</v>
      </c>
      <c r="HJ64" s="88">
        <f>SUM(HJ60:HJ63)</f>
        <v>5596.1</v>
      </c>
      <c r="HK64" s="29">
        <f>SUM(HK60:HK63)</f>
        <v>220</v>
      </c>
      <c r="HN64" s="48" t="s">
        <v>39</v>
      </c>
      <c r="HO64" s="29">
        <f>SUM(HO60:HO63)</f>
        <v>1240.25</v>
      </c>
      <c r="HP64" s="29">
        <f t="shared" ref="HP64" si="1018">SUM(HP60:HP63)</f>
        <v>174.4</v>
      </c>
      <c r="HQ64" s="29">
        <f>SUM(HQ60:HQ63)</f>
        <v>1065.8499999999999</v>
      </c>
      <c r="HR64" s="29">
        <f t="shared" ref="HR64" si="1019">SUM(HR60:HR63)</f>
        <v>1440</v>
      </c>
      <c r="HS64" s="26">
        <f>(HS60*IE60+HS61*IE61+HS62*IE62+HS63*IE63)/IE64</f>
        <v>50</v>
      </c>
      <c r="HT64" s="29">
        <f>SUM(HT60:HT63)</f>
        <v>0</v>
      </c>
      <c r="HU64" s="26">
        <f>(HU60*IE60+HU61*IE61+HU62*IE62+HU63*IE63)/IE64</f>
        <v>0</v>
      </c>
      <c r="HV64" s="29">
        <f>SUM(HV60:HV63)</f>
        <v>199.75</v>
      </c>
      <c r="HW64" s="26">
        <f>(HW60*IE60+HW61*IE61+HW62*IE62+HW63*IE63)/IE64</f>
        <v>6.9357638888888893</v>
      </c>
      <c r="HX64" s="29">
        <f>SUM(HX60:HX63)</f>
        <v>0</v>
      </c>
      <c r="HY64" s="30">
        <f>(HY60*IE60+HY61*IE61+HY62*IE62+HY63*IE63)/IE64</f>
        <v>43.064236111111114</v>
      </c>
      <c r="HZ64" s="193">
        <f>(HZ60*IE60+HZ61*IE61+HZ62*IE62+HZ63*IE63)/IE64</f>
        <v>43.064236111111114</v>
      </c>
      <c r="IA64" s="193">
        <f>(IA60*IE60+IA61*IE61+IA62*IE62+IA63*IE63)/IE64</f>
        <v>69.776343833311699</v>
      </c>
      <c r="IB64" s="193">
        <f>(IB60*IE60+IB61*IE61+IB62*IE62+IB63*IE63)/IE64</f>
        <v>4.7970328282828278</v>
      </c>
      <c r="IC64" s="30">
        <f>SUM(IC60:IC63)</f>
        <v>2880</v>
      </c>
      <c r="ID64" s="29">
        <f>SUM(ID60:ID63)</f>
        <v>7598.5</v>
      </c>
      <c r="IE64" s="29">
        <f>SUM(IE60:IE63)</f>
        <v>220</v>
      </c>
      <c r="IF64" s="6"/>
    </row>
    <row r="65" spans="1:240" ht="15" x14ac:dyDescent="0.2">
      <c r="A65" s="74" t="s">
        <v>69</v>
      </c>
      <c r="B65" s="8" t="s">
        <v>70</v>
      </c>
      <c r="C65" s="8">
        <f>$B$4-F65-H65-J65</f>
        <v>744</v>
      </c>
      <c r="D65" s="8">
        <v>609</v>
      </c>
      <c r="E65" s="8">
        <v>135</v>
      </c>
      <c r="F65" s="8">
        <v>0</v>
      </c>
      <c r="G65" s="8">
        <f t="shared" si="339"/>
        <v>0</v>
      </c>
      <c r="H65" s="8">
        <v>0</v>
      </c>
      <c r="I65" s="8">
        <f t="shared" si="340"/>
        <v>0</v>
      </c>
      <c r="J65" s="8">
        <v>0</v>
      </c>
      <c r="K65" s="6">
        <f>(J65/$B$4)*100</f>
        <v>0</v>
      </c>
      <c r="L65" s="8">
        <v>0</v>
      </c>
      <c r="M65" s="6">
        <f>(C65/$B$4)*100</f>
        <v>100</v>
      </c>
      <c r="N65" s="8">
        <f t="shared" si="525"/>
        <v>100</v>
      </c>
      <c r="O65" s="8">
        <f>IF((AND(D65=0,F65=0)),0,(F65+L65)/(D65+F65)*100)</f>
        <v>0</v>
      </c>
      <c r="P65" s="6">
        <f>(R65/($B$4*S65))*100</f>
        <v>80.083166666666656</v>
      </c>
      <c r="Q65" s="6">
        <f>SUM(D65:F65,H65,J65)</f>
        <v>744</v>
      </c>
      <c r="R65" s="85">
        <v>14895.468999999999</v>
      </c>
      <c r="S65" s="8">
        <v>25</v>
      </c>
      <c r="U65" s="74" t="s">
        <v>69</v>
      </c>
      <c r="V65" s="8" t="s">
        <v>70</v>
      </c>
      <c r="W65" s="8">
        <f>$V$4-Z65-AB65-AD65</f>
        <v>744</v>
      </c>
      <c r="X65" s="8">
        <v>554</v>
      </c>
      <c r="Y65" s="8">
        <v>190</v>
      </c>
      <c r="Z65" s="8">
        <v>0</v>
      </c>
      <c r="AA65" s="8">
        <f>(Z65/$V$4)*100</f>
        <v>0</v>
      </c>
      <c r="AB65" s="8">
        <v>0</v>
      </c>
      <c r="AC65" s="8">
        <f>(AB65/$V$4)*100</f>
        <v>0</v>
      </c>
      <c r="AD65" s="8">
        <v>0</v>
      </c>
      <c r="AE65" s="8">
        <f>(AD65/$V$4)*100</f>
        <v>0</v>
      </c>
      <c r="AF65" s="8">
        <v>0</v>
      </c>
      <c r="AG65" s="6">
        <f>(W65/$V$4)*100</f>
        <v>100</v>
      </c>
      <c r="AH65" s="8">
        <f>((W65-AF65)/$V$4)*100</f>
        <v>100</v>
      </c>
      <c r="AI65" s="8">
        <f>IF((AND(X65=0,Z65=0)),0,(Z65+AF65)/(X65+Z65)*100)</f>
        <v>0</v>
      </c>
      <c r="AJ65" s="6">
        <f>(AL65/($V$4*AM65))*100</f>
        <v>72.176440860215052</v>
      </c>
      <c r="AK65" s="6">
        <f>SUM(X65:Z65,AB65,AD65)</f>
        <v>744</v>
      </c>
      <c r="AL65" s="85">
        <v>13424.817999999999</v>
      </c>
      <c r="AM65" s="8">
        <v>25</v>
      </c>
      <c r="AO65" s="74" t="s">
        <v>69</v>
      </c>
      <c r="AP65" s="8" t="s">
        <v>70</v>
      </c>
      <c r="AQ65" s="8">
        <f>$AP$4-AT65-AV65-AX65</f>
        <v>720</v>
      </c>
      <c r="AR65" s="8">
        <v>641</v>
      </c>
      <c r="AS65" s="17">
        <f>720-AR65</f>
        <v>79</v>
      </c>
      <c r="AT65" s="8">
        <v>0</v>
      </c>
      <c r="AU65" s="8">
        <f>(AT65/$AP$4)*100</f>
        <v>0</v>
      </c>
      <c r="AV65" s="8">
        <v>0</v>
      </c>
      <c r="AW65" s="8">
        <f>(AV65/$AP$4)*100</f>
        <v>0</v>
      </c>
      <c r="AX65" s="8">
        <v>0</v>
      </c>
      <c r="AY65" s="8">
        <f>(AX65/$V$4)*100</f>
        <v>0</v>
      </c>
      <c r="AZ65" s="8">
        <v>0</v>
      </c>
      <c r="BA65" s="6">
        <f>(AQ65/$AP$4)*100</f>
        <v>100</v>
      </c>
      <c r="BB65" s="8">
        <f>((AQ65-AZ65)/$AP$4)*100</f>
        <v>100</v>
      </c>
      <c r="BC65" s="8">
        <f>IF((AND(AR65=0,AT65=0)),0,(AT65+AZ65)/(AR65+AT65)*100)</f>
        <v>0</v>
      </c>
      <c r="BD65" s="6">
        <f>(BF65/($AP$4*BG65))*100</f>
        <v>87.831661111111117</v>
      </c>
      <c r="BE65" s="6">
        <f>SUM(AR65:AT65,AV65,AX65)</f>
        <v>720</v>
      </c>
      <c r="BF65" s="85">
        <v>15809.699000000001</v>
      </c>
      <c r="BG65" s="8">
        <v>25</v>
      </c>
      <c r="BI65" s="74" t="s">
        <v>69</v>
      </c>
      <c r="BJ65" s="8" t="s">
        <v>70</v>
      </c>
      <c r="BK65" s="6">
        <f>$BJ$4-BN65-BP65-BR65</f>
        <v>744</v>
      </c>
      <c r="BL65" s="8">
        <v>459</v>
      </c>
      <c r="BM65" s="17">
        <f>744-BL65</f>
        <v>285</v>
      </c>
      <c r="BN65" s="8">
        <v>0</v>
      </c>
      <c r="BO65" s="6">
        <f t="shared" ref="BO65:BQ78" si="1020">(BN65/$BJ$4)*100</f>
        <v>0</v>
      </c>
      <c r="BP65" s="8">
        <v>0</v>
      </c>
      <c r="BQ65" s="6">
        <f t="shared" si="1020"/>
        <v>0</v>
      </c>
      <c r="BR65" s="6">
        <v>0</v>
      </c>
      <c r="BS65" s="6">
        <f>(BR65/$BJ$4)*100</f>
        <v>0</v>
      </c>
      <c r="BT65" s="8">
        <v>0</v>
      </c>
      <c r="BU65" s="6">
        <f>(BK65/$BJ$4)*100</f>
        <v>100</v>
      </c>
      <c r="BV65" s="6">
        <f t="shared" si="898"/>
        <v>100</v>
      </c>
      <c r="BW65" s="18">
        <f t="shared" si="899"/>
        <v>0</v>
      </c>
      <c r="BX65" s="6">
        <f>(BZ65/($BJ$4*CA65))*100</f>
        <v>61.450435483870969</v>
      </c>
      <c r="BY65" s="6">
        <f>SUM(BL65:BN65,BP65,BR65)</f>
        <v>744</v>
      </c>
      <c r="BZ65" s="43">
        <v>11429.781000000001</v>
      </c>
      <c r="CA65" s="8">
        <v>25</v>
      </c>
      <c r="CC65" s="74" t="s">
        <v>69</v>
      </c>
      <c r="CD65" s="8" t="s">
        <v>70</v>
      </c>
      <c r="CE65" s="6">
        <f>$CD$4-CH65-CJ65-CL65</f>
        <v>656.57999999999993</v>
      </c>
      <c r="CF65" s="6">
        <v>436.83</v>
      </c>
      <c r="CG65" s="6">
        <v>219.75</v>
      </c>
      <c r="CH65" s="8">
        <v>6.95</v>
      </c>
      <c r="CI65" s="6">
        <f t="shared" ref="CI65:CI66" si="1021">(CH65/$CD$4)*100</f>
        <v>0.96527777777777779</v>
      </c>
      <c r="CJ65" s="8">
        <v>0</v>
      </c>
      <c r="CK65" s="6">
        <f t="shared" ref="CK65:CK69" si="1022">(CJ65/$CD$4)*100</f>
        <v>0</v>
      </c>
      <c r="CL65" s="6">
        <v>56.47</v>
      </c>
      <c r="CM65" s="6">
        <f>(CL65/$CD$4)*100</f>
        <v>7.8430555555555559</v>
      </c>
      <c r="CN65" s="8">
        <v>0</v>
      </c>
      <c r="CO65" s="6">
        <f>(CE65/$CD$4)*100</f>
        <v>91.191666666666663</v>
      </c>
      <c r="CP65" s="6">
        <f t="shared" ref="CP65:CP78" si="1023">((CE65-CN65)/$CD$4)*100</f>
        <v>91.191666666666663</v>
      </c>
      <c r="CQ65" s="18">
        <f>IF((AND(CF65=0,CH65=0)),0,(CH65+CN65)/(CF65+CH65)*100)</f>
        <v>1.5660913065032225</v>
      </c>
      <c r="CR65" s="6">
        <f>(CT65/($CD$4*CU65))*100</f>
        <v>68.429238888888889</v>
      </c>
      <c r="CS65" s="6">
        <f>SUM(CF65:CH65,CJ65,CL65)</f>
        <v>720</v>
      </c>
      <c r="CT65" s="43">
        <v>12317.263000000001</v>
      </c>
      <c r="CU65" s="8">
        <v>25</v>
      </c>
      <c r="CV65" s="6"/>
      <c r="CW65" s="74" t="s">
        <v>69</v>
      </c>
      <c r="CX65" s="8" t="s">
        <v>70</v>
      </c>
      <c r="CY65" s="6">
        <f>$CX$4-DB65-DD65-DF65</f>
        <v>733.47</v>
      </c>
      <c r="CZ65" s="8">
        <v>592.97</v>
      </c>
      <c r="DA65" s="8">
        <v>140.5</v>
      </c>
      <c r="DB65" s="8">
        <v>10.53</v>
      </c>
      <c r="DC65" s="6">
        <f t="shared" si="416"/>
        <v>1.4153225806451613</v>
      </c>
      <c r="DD65" s="8">
        <v>0</v>
      </c>
      <c r="DE65" s="6">
        <f t="shared" si="417"/>
        <v>0</v>
      </c>
      <c r="DF65" s="91">
        <v>0</v>
      </c>
      <c r="DG65" s="6">
        <f>(DF65/$CX$4)*100</f>
        <v>0</v>
      </c>
      <c r="DH65" s="8">
        <v>0</v>
      </c>
      <c r="DI65" s="6">
        <f>(CY65/$V$4)*100</f>
        <v>98.584677419354833</v>
      </c>
      <c r="DJ65" s="6">
        <f t="shared" si="464"/>
        <v>98.584677419354833</v>
      </c>
      <c r="DK65" s="18">
        <f t="shared" si="465"/>
        <v>1.7448218724109361</v>
      </c>
      <c r="DL65" s="6">
        <f>(DN65/($CX$4*DO65))*100</f>
        <v>82.508005376344087</v>
      </c>
      <c r="DM65" s="6">
        <f>SUM(CZ65:DB65,DD65,DF65)</f>
        <v>744</v>
      </c>
      <c r="DN65" s="43">
        <v>15346.489</v>
      </c>
      <c r="DO65" s="8">
        <v>25</v>
      </c>
      <c r="DQ65" s="74" t="s">
        <v>69</v>
      </c>
      <c r="DR65" s="8" t="s">
        <v>70</v>
      </c>
      <c r="DS65" s="6">
        <f>$DR$4-DV65-DX65-DZ65</f>
        <v>634.16999999999996</v>
      </c>
      <c r="DT65" s="8">
        <v>379.08</v>
      </c>
      <c r="DU65" s="8">
        <v>255.09</v>
      </c>
      <c r="DV65" s="8">
        <v>72.45</v>
      </c>
      <c r="DW65" s="6">
        <f t="shared" si="420"/>
        <v>9.737903225806452</v>
      </c>
      <c r="DX65" s="8">
        <v>37.380000000000003</v>
      </c>
      <c r="DY65" s="6">
        <f t="shared" si="421"/>
        <v>5.024193548387097</v>
      </c>
      <c r="DZ65" s="6">
        <v>0</v>
      </c>
      <c r="EA65" s="6">
        <f>(DZ65/$DR$4)*100</f>
        <v>0</v>
      </c>
      <c r="EB65" s="8">
        <v>0</v>
      </c>
      <c r="EC65" s="6">
        <f>(DS65/$V$4)*100</f>
        <v>85.237903225806448</v>
      </c>
      <c r="ED65" s="6">
        <f t="shared" si="467"/>
        <v>85.237903225806448</v>
      </c>
      <c r="EE65" s="18">
        <f t="shared" si="468"/>
        <v>16.045445485349813</v>
      </c>
      <c r="EF65" s="6">
        <f>(EH65/($DR$4*EI65))*100</f>
        <v>52.967784946236563</v>
      </c>
      <c r="EG65" s="6">
        <f>SUM(DT65:DV65,DX65,DZ65)</f>
        <v>744</v>
      </c>
      <c r="EH65" s="85">
        <v>9852.0079999999998</v>
      </c>
      <c r="EI65" s="8">
        <v>25</v>
      </c>
      <c r="EK65" s="74" t="s">
        <v>69</v>
      </c>
      <c r="EL65" s="8" t="s">
        <v>70</v>
      </c>
      <c r="EM65" s="6">
        <f>$EL$4-EP65-ER65-ET65</f>
        <v>645.4</v>
      </c>
      <c r="EN65" s="8">
        <v>367.68</v>
      </c>
      <c r="EO65" s="8">
        <v>277.72000000000003</v>
      </c>
      <c r="EP65" s="8">
        <v>26.6</v>
      </c>
      <c r="EQ65" s="6">
        <f t="shared" si="424"/>
        <v>3.9583333333333339</v>
      </c>
      <c r="ER65" s="8">
        <v>0</v>
      </c>
      <c r="ES65" s="6">
        <f t="shared" si="425"/>
        <v>0</v>
      </c>
      <c r="ET65" s="6">
        <v>0</v>
      </c>
      <c r="EU65" s="6">
        <f>(ET65/$EL$4)*100</f>
        <v>0</v>
      </c>
      <c r="EV65" s="8">
        <v>0</v>
      </c>
      <c r="EW65" s="6">
        <f>(EM65/$V$4)*100</f>
        <v>86.747311827956992</v>
      </c>
      <c r="EX65" s="6">
        <f t="shared" si="469"/>
        <v>96.041666666666657</v>
      </c>
      <c r="EY65" s="18">
        <f t="shared" si="470"/>
        <v>6.746474586588211</v>
      </c>
      <c r="EZ65" s="6">
        <f>(FB65/($EL$4*FC65))*100</f>
        <v>55.725982142857141</v>
      </c>
      <c r="FA65" s="6">
        <f>SUM(EN65:EP65,ER65,ET65)</f>
        <v>672.00000000000011</v>
      </c>
      <c r="FB65" s="43">
        <v>9361.9650000000001</v>
      </c>
      <c r="FC65" s="8">
        <v>25</v>
      </c>
      <c r="FE65" s="74" t="s">
        <v>69</v>
      </c>
      <c r="FF65" s="8" t="s">
        <v>70</v>
      </c>
      <c r="FG65" s="6">
        <f>$FF$4-FJ65-FL65-FN65</f>
        <v>541.76</v>
      </c>
      <c r="FH65" s="8">
        <v>448.62</v>
      </c>
      <c r="FI65" s="8">
        <v>93.14</v>
      </c>
      <c r="FJ65" s="8">
        <v>202.24</v>
      </c>
      <c r="FK65" s="6">
        <f t="shared" si="439"/>
        <v>27.182795698924732</v>
      </c>
      <c r="FL65" s="8">
        <v>0</v>
      </c>
      <c r="FM65" s="6">
        <f t="shared" si="440"/>
        <v>0</v>
      </c>
      <c r="FN65" s="6">
        <v>0</v>
      </c>
      <c r="FO65" s="6">
        <f>(FN65/$FF$4)*100</f>
        <v>0</v>
      </c>
      <c r="FP65" s="8">
        <v>0</v>
      </c>
      <c r="FQ65" s="6">
        <f>(FG65/$V$4)*100</f>
        <v>72.817204301075265</v>
      </c>
      <c r="FR65" s="6">
        <f t="shared" si="473"/>
        <v>72.817204301075265</v>
      </c>
      <c r="FS65" s="18">
        <f t="shared" si="474"/>
        <v>31.07273453584488</v>
      </c>
      <c r="FT65" s="6">
        <f>(FV65/($FF$4*FW65))*100</f>
        <v>59.178790322580646</v>
      </c>
      <c r="FU65" s="6">
        <f>SUM(FH65:FJ65,FL65,FN65)</f>
        <v>744</v>
      </c>
      <c r="FV65" s="43">
        <v>11007.254999999999</v>
      </c>
      <c r="FW65" s="8">
        <v>25</v>
      </c>
      <c r="FY65" s="74" t="s">
        <v>69</v>
      </c>
      <c r="FZ65" s="8" t="s">
        <v>70</v>
      </c>
      <c r="GA65" s="6">
        <f>$FZ$4-GD65-GF65-GH65</f>
        <v>642.27</v>
      </c>
      <c r="GB65" s="8">
        <v>495.33</v>
      </c>
      <c r="GC65" s="8">
        <v>146.94</v>
      </c>
      <c r="GD65" s="8">
        <v>77.73</v>
      </c>
      <c r="GE65" s="6">
        <f>(GD65/$FZ$4)</f>
        <v>0.10795833333333334</v>
      </c>
      <c r="GF65" s="8">
        <v>0</v>
      </c>
      <c r="GG65" s="6">
        <f t="shared" ref="GG65:GG69" si="1024">(GF65/$FZ$4)*100</f>
        <v>0</v>
      </c>
      <c r="GH65" s="6">
        <v>0</v>
      </c>
      <c r="GI65" s="6">
        <f>(GH65/$FZ$4)*100</f>
        <v>0</v>
      </c>
      <c r="GJ65" s="8">
        <v>0</v>
      </c>
      <c r="GK65" s="6">
        <f>(GA65/$V$4)*100</f>
        <v>86.326612903225808</v>
      </c>
      <c r="GL65" s="6">
        <f t="shared" ref="GL65:GL69" si="1025">((GA65-GJ65)/$FZ$4)*100</f>
        <v>89.204166666666666</v>
      </c>
      <c r="GM65" s="18">
        <f>IF((AND(GB65=0,GD65=0)),0,(GD65+GJ65)/(GB65+GD65)*100)</f>
        <v>13.564024709454509</v>
      </c>
      <c r="GN65" s="6">
        <f>(GP65/($FZ$4*GQ65))*100</f>
        <v>70.455555555555563</v>
      </c>
      <c r="GO65" s="6">
        <f>SUM(GB65:GD65,GF65,GH65)</f>
        <v>720</v>
      </c>
      <c r="GP65" s="85">
        <v>12682</v>
      </c>
      <c r="GQ65" s="8">
        <v>25</v>
      </c>
      <c r="GS65" s="74" t="s">
        <v>69</v>
      </c>
      <c r="GT65" s="8" t="s">
        <v>70</v>
      </c>
      <c r="GU65" s="8">
        <f>$GT$4-GX65-GZ65-HB65</f>
        <v>0</v>
      </c>
      <c r="GV65" s="8">
        <v>0</v>
      </c>
      <c r="GW65" s="52">
        <v>0</v>
      </c>
      <c r="GX65" s="8">
        <v>744</v>
      </c>
      <c r="GY65" s="8">
        <f t="shared" si="559"/>
        <v>100</v>
      </c>
      <c r="GZ65" s="8">
        <v>0</v>
      </c>
      <c r="HA65" s="8">
        <f t="shared" si="560"/>
        <v>0</v>
      </c>
      <c r="HB65" s="8">
        <v>0</v>
      </c>
      <c r="HC65" s="6">
        <f>(HB65/$GT$4)*100</f>
        <v>0</v>
      </c>
      <c r="HD65" s="8">
        <v>0</v>
      </c>
      <c r="HE65" s="6">
        <f>(GU65/$GT$4)*100</f>
        <v>0</v>
      </c>
      <c r="HF65" s="6">
        <f>((GU65-HD65)/$GT$4)*100</f>
        <v>0</v>
      </c>
      <c r="HG65" s="8">
        <f t="shared" si="397"/>
        <v>100</v>
      </c>
      <c r="HH65" s="6">
        <f>(HJ65/($GT$4*HK65))*100</f>
        <v>0</v>
      </c>
      <c r="HI65" s="6">
        <f>SUM(GV65:GX65,GZ65,HB65)</f>
        <v>744</v>
      </c>
      <c r="HJ65" s="8">
        <v>0</v>
      </c>
      <c r="HK65" s="8">
        <v>25</v>
      </c>
      <c r="HM65" s="74" t="s">
        <v>69</v>
      </c>
      <c r="HN65" s="8" t="s">
        <v>70</v>
      </c>
      <c r="HO65" s="49">
        <f>$HN$4-HR65-HT65-HV65</f>
        <v>720</v>
      </c>
      <c r="HP65" s="49">
        <v>24.44</v>
      </c>
      <c r="HQ65" s="8">
        <v>695.56</v>
      </c>
      <c r="HR65" s="49">
        <v>0</v>
      </c>
      <c r="HS65" s="8">
        <f>(HR65/$HN$4)*100</f>
        <v>0</v>
      </c>
      <c r="HT65" s="8">
        <v>0</v>
      </c>
      <c r="HU65" s="8">
        <f>(HT65/$HN$4)*100</f>
        <v>0</v>
      </c>
      <c r="HV65" s="8">
        <v>0</v>
      </c>
      <c r="HW65" s="8">
        <f>(HV65/$HN$4)*100</f>
        <v>0</v>
      </c>
      <c r="HX65" s="8">
        <v>0</v>
      </c>
      <c r="HY65" s="6">
        <f>(HO65/$HN$4)*100</f>
        <v>100</v>
      </c>
      <c r="HZ65" s="6">
        <f>((HO65-HX65)/$HN$4)*100</f>
        <v>100</v>
      </c>
      <c r="IA65" s="18">
        <f>IF((AND(HP65=0,HR65=0)),0,(HR65+HX65)/(HP65+HR65)*100)</f>
        <v>0</v>
      </c>
      <c r="IB65" s="6">
        <f>(ID65/($HN$4*IE65))*100</f>
        <v>3.123561111111111</v>
      </c>
      <c r="IC65" s="6">
        <f>SUM(HP65:HR65,HT65,HV65)</f>
        <v>720</v>
      </c>
      <c r="ID65" s="92">
        <v>562.24099999999999</v>
      </c>
      <c r="IE65" s="8">
        <v>25</v>
      </c>
      <c r="IF65" s="15">
        <v>25</v>
      </c>
    </row>
    <row r="66" spans="1:240" ht="14.25" x14ac:dyDescent="0.2">
      <c r="B66" s="8" t="s">
        <v>71</v>
      </c>
      <c r="C66" s="8">
        <f t="shared" ref="C66:C78" si="1026">$B$4-F66-H66-J66</f>
        <v>744</v>
      </c>
      <c r="D66" s="8">
        <v>594</v>
      </c>
      <c r="E66" s="8">
        <v>150</v>
      </c>
      <c r="F66" s="8">
        <v>0</v>
      </c>
      <c r="G66" s="8">
        <f t="shared" si="339"/>
        <v>0</v>
      </c>
      <c r="H66" s="8">
        <v>0</v>
      </c>
      <c r="I66" s="8">
        <f t="shared" si="340"/>
        <v>0</v>
      </c>
      <c r="J66" s="8">
        <v>0</v>
      </c>
      <c r="K66" s="6">
        <f t="shared" ref="K66:K78" si="1027">(J66/$B$4)*100</f>
        <v>0</v>
      </c>
      <c r="L66" s="8">
        <v>0</v>
      </c>
      <c r="M66" s="6">
        <f t="shared" ref="M66" si="1028">(C66/$B$4)*100</f>
        <v>100</v>
      </c>
      <c r="N66" s="8">
        <f t="shared" si="525"/>
        <v>100</v>
      </c>
      <c r="O66" s="8">
        <f t="shared" ref="O66:O78" si="1029">IF((AND(D66=0,F66=0)),0,(F66+L66)/(D66+F66)*100)</f>
        <v>0</v>
      </c>
      <c r="P66" s="6">
        <f t="shared" ref="P66:P78" si="1030">(R66/($B$4*S66))*100</f>
        <v>79.934801075268808</v>
      </c>
      <c r="Q66" s="6">
        <f t="shared" ref="Q66:Q78" si="1031">SUM(D66:F66,H66,J66)</f>
        <v>744</v>
      </c>
      <c r="R66" s="85">
        <v>14867.873</v>
      </c>
      <c r="S66" s="8">
        <v>25</v>
      </c>
      <c r="V66" s="8" t="s">
        <v>71</v>
      </c>
      <c r="W66" s="8">
        <f t="shared" ref="W66:W78" si="1032">$V$4-Z66-AB66-AD66</f>
        <v>744</v>
      </c>
      <c r="X66" s="8">
        <v>524</v>
      </c>
      <c r="Y66" s="8">
        <v>220</v>
      </c>
      <c r="Z66" s="8">
        <v>0</v>
      </c>
      <c r="AA66" s="8">
        <f t="shared" ref="AA66:AE78" si="1033">(Z66/$V$4)*100</f>
        <v>0</v>
      </c>
      <c r="AB66" s="8">
        <v>0</v>
      </c>
      <c r="AC66" s="8">
        <f t="shared" si="1033"/>
        <v>0</v>
      </c>
      <c r="AD66" s="8">
        <v>0</v>
      </c>
      <c r="AE66" s="8">
        <f t="shared" si="1033"/>
        <v>0</v>
      </c>
      <c r="AF66" s="8">
        <v>0</v>
      </c>
      <c r="AG66" s="6">
        <f t="shared" ref="AG66:AG78" si="1034">(W66/$V$4)*100</f>
        <v>100</v>
      </c>
      <c r="AH66" s="8">
        <f t="shared" ref="AH66:AH78" si="1035">((W66-AF66)/$V$4)*100</f>
        <v>100</v>
      </c>
      <c r="AI66" s="8">
        <f t="shared" ref="AI66:AI78" si="1036">IF((AND(X66=0,Z66=0)),0,(Z66+AF66)/(X66+Z66)*100)</f>
        <v>0</v>
      </c>
      <c r="AJ66" s="6">
        <f t="shared" ref="AJ66:AJ78" si="1037">(AL66/($V$4*AM66))*100</f>
        <v>67.39929032258064</v>
      </c>
      <c r="AK66" s="6">
        <f t="shared" ref="AK66:AK78" si="1038">SUM(X66:Z66,AB66,AD66)</f>
        <v>744</v>
      </c>
      <c r="AL66" s="85">
        <v>12536.268</v>
      </c>
      <c r="AM66" s="8">
        <v>25</v>
      </c>
      <c r="AP66" s="8" t="s">
        <v>71</v>
      </c>
      <c r="AQ66" s="8">
        <f t="shared" ref="AQ66:AQ78" si="1039">$AP$4-AT66-AV66-AX66</f>
        <v>720</v>
      </c>
      <c r="AR66" s="8">
        <v>632</v>
      </c>
      <c r="AS66" s="17">
        <f t="shared" ref="AS66:AS74" si="1040">720-AR66</f>
        <v>88</v>
      </c>
      <c r="AT66" s="8">
        <v>0</v>
      </c>
      <c r="AU66" s="8">
        <f t="shared" ref="AU66:AU78" si="1041">(AT66/$AP$4)*100</f>
        <v>0</v>
      </c>
      <c r="AV66" s="8">
        <v>0</v>
      </c>
      <c r="AW66" s="8">
        <f t="shared" ref="AW66:AW78" si="1042">(AV66/$AP$4)*100</f>
        <v>0</v>
      </c>
      <c r="AX66" s="8">
        <v>0</v>
      </c>
      <c r="AY66" s="8">
        <f t="shared" ref="AY66:AY78" si="1043">(AX66/$V$4)*100</f>
        <v>0</v>
      </c>
      <c r="AZ66" s="8">
        <v>0</v>
      </c>
      <c r="BA66" s="6">
        <f t="shared" ref="BA66:BA78" si="1044">(AQ66/$AP$4)*100</f>
        <v>100</v>
      </c>
      <c r="BB66" s="8">
        <f t="shared" ref="BB66:BB78" si="1045">((AQ66-AZ66)/$AP$4)*100</f>
        <v>100</v>
      </c>
      <c r="BC66" s="8">
        <f t="shared" ref="BC66:BC78" si="1046">IF((AND(AR66=0,AT66=0)),0,(AT66+AZ66)/(AR66+AT66)*100)</f>
        <v>0</v>
      </c>
      <c r="BD66" s="6">
        <f t="shared" ref="BD66:BD68" si="1047">(BF66/($AP$4*BG66))*100</f>
        <v>88.599205555555557</v>
      </c>
      <c r="BE66" s="6">
        <f t="shared" ref="BE66:BE78" si="1048">SUM(AR66:AT66,AV66,AX66)</f>
        <v>720</v>
      </c>
      <c r="BF66" s="85">
        <v>15947.857</v>
      </c>
      <c r="BG66" s="8">
        <v>25</v>
      </c>
      <c r="BJ66" s="8" t="s">
        <v>71</v>
      </c>
      <c r="BK66" s="6">
        <f t="shared" ref="BK66:BK78" si="1049">$BJ$4-BN66-BP66-BR66</f>
        <v>744</v>
      </c>
      <c r="BL66" s="8">
        <v>588</v>
      </c>
      <c r="BM66" s="17">
        <f t="shared" ref="BM66:BM74" si="1050">744-BL66</f>
        <v>156</v>
      </c>
      <c r="BN66" s="8">
        <v>0</v>
      </c>
      <c r="BO66" s="6">
        <f t="shared" si="1020"/>
        <v>0</v>
      </c>
      <c r="BP66" s="8">
        <v>0</v>
      </c>
      <c r="BQ66" s="6">
        <f t="shared" si="1020"/>
        <v>0</v>
      </c>
      <c r="BR66" s="6">
        <v>0</v>
      </c>
      <c r="BS66" s="6">
        <f t="shared" ref="BS66:BS78" si="1051">(BR66/$BJ$4)*100</f>
        <v>0</v>
      </c>
      <c r="BT66" s="8">
        <v>0</v>
      </c>
      <c r="BU66" s="6">
        <f t="shared" ref="BU66:BU78" si="1052">(BK66/$BJ$4)*100</f>
        <v>100</v>
      </c>
      <c r="BV66" s="6">
        <f t="shared" si="898"/>
        <v>100</v>
      </c>
      <c r="BW66" s="18">
        <f t="shared" si="899"/>
        <v>0</v>
      </c>
      <c r="BX66" s="6">
        <f t="shared" ref="BX66:BX78" si="1053">(BZ66/($BJ$4*CA66))*100</f>
        <v>79.414225806451611</v>
      </c>
      <c r="BY66" s="6">
        <f t="shared" ref="BY66:BY78" si="1054">SUM(BL66:BN66,BP66,BR66)</f>
        <v>744</v>
      </c>
      <c r="BZ66" s="43">
        <v>14771.046</v>
      </c>
      <c r="CA66" s="8">
        <v>25</v>
      </c>
      <c r="CD66" s="8" t="s">
        <v>71</v>
      </c>
      <c r="CE66" s="6">
        <f t="shared" ref="CE66:CE78" si="1055">$CD$4-CH66-CJ66-CL66</f>
        <v>665.46</v>
      </c>
      <c r="CF66" s="6">
        <v>554.51</v>
      </c>
      <c r="CG66" s="6">
        <v>110.95000000000005</v>
      </c>
      <c r="CH66" s="8">
        <v>54.54</v>
      </c>
      <c r="CI66" s="6">
        <f t="shared" si="1021"/>
        <v>7.5750000000000002</v>
      </c>
      <c r="CJ66" s="8">
        <v>0</v>
      </c>
      <c r="CK66" s="6">
        <f t="shared" si="1022"/>
        <v>0</v>
      </c>
      <c r="CL66" s="6">
        <v>0</v>
      </c>
      <c r="CM66" s="6">
        <f t="shared" ref="CM66:CM78" si="1056">(CL66/$CD$4)*100</f>
        <v>0</v>
      </c>
      <c r="CN66" s="8">
        <v>0</v>
      </c>
      <c r="CO66" s="6">
        <f t="shared" ref="CO66:CO78" si="1057">(CE66/$CD$4)*100</f>
        <v>92.424999999999997</v>
      </c>
      <c r="CP66" s="6">
        <f t="shared" si="1023"/>
        <v>92.424999999999997</v>
      </c>
      <c r="CQ66" s="18">
        <f t="shared" ref="CQ66" si="1058">IF((AND(CF66=0,CH66=0)),0,(CH66+CN66)/(CF66+CH66)*100)</f>
        <v>8.9549298087184965</v>
      </c>
      <c r="CR66" s="6">
        <f t="shared" ref="CR66:CR78" si="1059">(CT66/($CD$4*CU66))*100</f>
        <v>79.912833333333339</v>
      </c>
      <c r="CS66" s="6">
        <f t="shared" ref="CS66:CS78" si="1060">SUM(CF66:CH66,CJ66,CL66)</f>
        <v>720</v>
      </c>
      <c r="CT66" s="43">
        <v>14384.31</v>
      </c>
      <c r="CU66" s="8">
        <v>25</v>
      </c>
      <c r="CV66" s="6"/>
      <c r="CX66" s="8" t="s">
        <v>71</v>
      </c>
      <c r="CY66" s="6">
        <f t="shared" ref="CY66:CY78" si="1061">$CX$4-DB66-DD66-DF66</f>
        <v>669.25</v>
      </c>
      <c r="CZ66" s="8">
        <v>597.33000000000004</v>
      </c>
      <c r="DA66" s="8">
        <v>71.919999999999959</v>
      </c>
      <c r="DB66" s="8">
        <v>10.53</v>
      </c>
      <c r="DC66" s="6">
        <f t="shared" si="416"/>
        <v>1.4153225806451613</v>
      </c>
      <c r="DD66" s="8">
        <v>0</v>
      </c>
      <c r="DE66" s="6">
        <f t="shared" si="417"/>
        <v>0</v>
      </c>
      <c r="DF66" s="91">
        <v>64.22</v>
      </c>
      <c r="DG66" s="6">
        <f t="shared" ref="DG66:DG68" si="1062">(DF66/$CX$4)*100</f>
        <v>8.6317204301075279</v>
      </c>
      <c r="DH66" s="8">
        <v>0</v>
      </c>
      <c r="DI66" s="6">
        <f t="shared" ref="DI66:DI78" si="1063">(CY66/$V$4)*100</f>
        <v>89.952956989247312</v>
      </c>
      <c r="DJ66" s="6">
        <f t="shared" si="464"/>
        <v>89.952956989247312</v>
      </c>
      <c r="DK66" s="18">
        <f t="shared" si="465"/>
        <v>1.7323067811667159</v>
      </c>
      <c r="DL66" s="6">
        <f t="shared" ref="DL66:DL78" si="1064">(DN66/($CX$4*DO66))*100</f>
        <v>84.75827956989248</v>
      </c>
      <c r="DM66" s="6">
        <f t="shared" ref="DM66:DM78" si="1065">SUM(CZ66:DB66,DD66,DF66)</f>
        <v>744</v>
      </c>
      <c r="DN66" s="43">
        <v>15765.04</v>
      </c>
      <c r="DO66" s="8">
        <v>25</v>
      </c>
      <c r="DR66" s="8" t="s">
        <v>71</v>
      </c>
      <c r="DS66" s="6">
        <f t="shared" ref="DS66:DS78" si="1066">$DR$4-DV66-DX66-DZ66</f>
        <v>688.14</v>
      </c>
      <c r="DT66" s="8">
        <v>449.57</v>
      </c>
      <c r="DU66" s="8">
        <v>238.57</v>
      </c>
      <c r="DV66" s="8">
        <v>23.7</v>
      </c>
      <c r="DW66" s="6">
        <f t="shared" si="420"/>
        <v>3.1854838709677415</v>
      </c>
      <c r="DX66" s="8">
        <v>32.159999999999997</v>
      </c>
      <c r="DY66" s="6">
        <f t="shared" si="421"/>
        <v>4.32258064516129</v>
      </c>
      <c r="DZ66" s="6">
        <v>0</v>
      </c>
      <c r="EA66" s="6">
        <f t="shared" ref="EA66:EA68" si="1067">(DZ66/$DR$4)*100</f>
        <v>0</v>
      </c>
      <c r="EB66" s="8">
        <v>0</v>
      </c>
      <c r="EC66" s="6">
        <f t="shared" ref="EC66:EC78" si="1068">(DS66/$V$4)*100</f>
        <v>92.491935483870975</v>
      </c>
      <c r="ED66" s="6">
        <f t="shared" si="467"/>
        <v>92.491935483870975</v>
      </c>
      <c r="EE66" s="18">
        <f t="shared" si="468"/>
        <v>5.0077122995330363</v>
      </c>
      <c r="EF66" s="6">
        <f t="shared" ref="EF66:EF78" si="1069">(EH66/($DR$4*EI66))*100</f>
        <v>67.316634408602155</v>
      </c>
      <c r="EG66" s="6">
        <f t="shared" ref="EG66:EG78" si="1070">SUM(DT66:DV66,DX66,DZ66)</f>
        <v>744</v>
      </c>
      <c r="EH66" s="85">
        <v>12520.894</v>
      </c>
      <c r="EI66" s="8">
        <v>25</v>
      </c>
      <c r="EL66" s="8" t="s">
        <v>71</v>
      </c>
      <c r="EM66" s="6">
        <f t="shared" ref="EM66:EM78" si="1071">$EL$4-EP66-ER66-ET66</f>
        <v>656.47</v>
      </c>
      <c r="EN66" s="8">
        <v>225.24</v>
      </c>
      <c r="EO66" s="8">
        <v>431.23</v>
      </c>
      <c r="EP66" s="8">
        <v>15.53</v>
      </c>
      <c r="EQ66" s="6">
        <f t="shared" si="424"/>
        <v>2.3110119047619047</v>
      </c>
      <c r="ER66" s="8">
        <v>0</v>
      </c>
      <c r="ES66" s="6">
        <f t="shared" si="425"/>
        <v>0</v>
      </c>
      <c r="ET66" s="6">
        <v>0</v>
      </c>
      <c r="EU66" s="6">
        <f t="shared" ref="EU66:EU68" si="1072">(ET66/$EL$4)*100</f>
        <v>0</v>
      </c>
      <c r="EV66" s="8">
        <v>0</v>
      </c>
      <c r="EW66" s="6">
        <f t="shared" ref="EW66:EW78" si="1073">(EM66/$V$4)*100</f>
        <v>88.235215053763454</v>
      </c>
      <c r="EX66" s="6">
        <f t="shared" si="469"/>
        <v>97.688988095238088</v>
      </c>
      <c r="EY66" s="18">
        <f t="shared" si="470"/>
        <v>6.4501391369356647</v>
      </c>
      <c r="EZ66" s="6">
        <f t="shared" ref="EZ66:EZ78" si="1074">(FB66/($EL$4*FC66))*100</f>
        <v>32.784952380952383</v>
      </c>
      <c r="FA66" s="6">
        <f t="shared" ref="FA66:FA78" si="1075">SUM(EN66:EP66,ER66,ET66)</f>
        <v>672</v>
      </c>
      <c r="FB66" s="43">
        <v>5507.8720000000003</v>
      </c>
      <c r="FC66" s="8">
        <v>25</v>
      </c>
      <c r="FF66" s="8" t="s">
        <v>71</v>
      </c>
      <c r="FG66" s="6">
        <f t="shared" ref="FG66:FG78" si="1076">$FF$4-FJ66-FL66-FN66</f>
        <v>736.42</v>
      </c>
      <c r="FH66" s="8">
        <v>523.04999999999995</v>
      </c>
      <c r="FI66" s="8">
        <v>213.37</v>
      </c>
      <c r="FJ66" s="8">
        <v>7.58</v>
      </c>
      <c r="FK66" s="6">
        <f t="shared" si="439"/>
        <v>1.0188172043010753</v>
      </c>
      <c r="FL66" s="8">
        <v>0</v>
      </c>
      <c r="FM66" s="6">
        <f t="shared" si="440"/>
        <v>0</v>
      </c>
      <c r="FN66" s="6">
        <v>0</v>
      </c>
      <c r="FO66" s="6">
        <f t="shared" ref="FO66:FO78" si="1077">(FN66/$FF$4)*100</f>
        <v>0</v>
      </c>
      <c r="FP66" s="8">
        <v>0</v>
      </c>
      <c r="FQ66" s="6">
        <f t="shared" ref="FQ66:FQ78" si="1078">(FG66/$V$4)*100</f>
        <v>98.981182795698913</v>
      </c>
      <c r="FR66" s="6">
        <f t="shared" si="473"/>
        <v>98.981182795698913</v>
      </c>
      <c r="FS66" s="18">
        <f t="shared" si="474"/>
        <v>1.4284906620432316</v>
      </c>
      <c r="FT66" s="6">
        <f t="shared" ref="FT66:FT78" si="1079">(FV66/($FF$4*FW66))*100</f>
        <v>70.275322580645167</v>
      </c>
      <c r="FU66" s="6">
        <f t="shared" ref="FU66:FU78" si="1080">SUM(FH66:FJ66,FL66,FN66)</f>
        <v>744</v>
      </c>
      <c r="FV66" s="43">
        <v>13071.21</v>
      </c>
      <c r="FW66" s="8">
        <v>25</v>
      </c>
      <c r="FZ66" s="8" t="s">
        <v>71</v>
      </c>
      <c r="GA66" s="6">
        <f t="shared" ref="GA66:GA78" si="1081">$FZ$4-GD66-GF66-GH66</f>
        <v>607.37</v>
      </c>
      <c r="GB66" s="8">
        <v>545.47</v>
      </c>
      <c r="GC66" s="8">
        <v>61.9</v>
      </c>
      <c r="GD66" s="8">
        <v>112.63</v>
      </c>
      <c r="GE66" s="6">
        <f t="shared" ref="GE66:GE78" si="1082">(GD66/$FZ$4)</f>
        <v>0.15643055555555554</v>
      </c>
      <c r="GF66" s="8">
        <v>0</v>
      </c>
      <c r="GG66" s="6">
        <f t="shared" si="1024"/>
        <v>0</v>
      </c>
      <c r="GH66" s="6">
        <v>0</v>
      </c>
      <c r="GI66" s="6">
        <f t="shared" ref="GI66:GI78" si="1083">(GH66/$FZ$4)*100</f>
        <v>0</v>
      </c>
      <c r="GJ66" s="8">
        <v>0</v>
      </c>
      <c r="GK66" s="6">
        <f t="shared" ref="GK66:GK78" si="1084">(GA66/$V$4)*100</f>
        <v>81.635752688172047</v>
      </c>
      <c r="GL66" s="6">
        <f t="shared" si="1025"/>
        <v>84.356944444444451</v>
      </c>
      <c r="GM66" s="18">
        <f t="shared" ref="GM66:GM69" si="1085">IF((AND(GB66=0,GD66=0)),0,(GD66+GJ66)/(GB66+GD66)*100)</f>
        <v>17.114420300866129</v>
      </c>
      <c r="GN66" s="6">
        <f t="shared" ref="GN66:GN78" si="1086">(GP66/($FZ$4*GQ66))*100</f>
        <v>79.044111111111121</v>
      </c>
      <c r="GO66" s="6">
        <f t="shared" ref="GO66:GO78" si="1087">SUM(GB66:GD66,GF66,GH66)</f>
        <v>720</v>
      </c>
      <c r="GP66" s="85">
        <v>14227.94</v>
      </c>
      <c r="GQ66" s="8">
        <v>25</v>
      </c>
      <c r="GT66" s="8" t="s">
        <v>71</v>
      </c>
      <c r="GU66" s="8">
        <f t="shared" ref="GU66:GU78" si="1088">$GT$4-GX66-GZ66-HB66</f>
        <v>743.6</v>
      </c>
      <c r="GV66" s="8">
        <v>544.57000000000005</v>
      </c>
      <c r="GW66" s="52">
        <v>199.03</v>
      </c>
      <c r="GX66" s="8">
        <v>0.4</v>
      </c>
      <c r="GY66" s="6">
        <f t="shared" si="559"/>
        <v>5.3763440860215055E-2</v>
      </c>
      <c r="GZ66" s="8">
        <v>0</v>
      </c>
      <c r="HA66" s="8">
        <f t="shared" si="560"/>
        <v>0</v>
      </c>
      <c r="HB66" s="8">
        <v>0</v>
      </c>
      <c r="HC66" s="6">
        <f t="shared" ref="HC66:HC78" si="1089">(HB66/$GT$4)*100</f>
        <v>0</v>
      </c>
      <c r="HD66" s="8">
        <v>0</v>
      </c>
      <c r="HE66" s="6">
        <f t="shared" ref="HE66:HE78" si="1090">(GU66/$GT$4)*100</f>
        <v>99.946236559139791</v>
      </c>
      <c r="HF66" s="6">
        <f t="shared" ref="HF66:HF78" si="1091">((GU66-HD66)/$GT$4)*100</f>
        <v>99.946236559139791</v>
      </c>
      <c r="HG66" s="6">
        <f t="shared" si="397"/>
        <v>7.33985356992128E-2</v>
      </c>
      <c r="HH66" s="6">
        <f t="shared" ref="HH66:HH78" si="1092">(HJ66/($GT$4*HK66))*100</f>
        <v>76.745806451612893</v>
      </c>
      <c r="HI66" s="6">
        <f t="shared" ref="HI66:HI78" si="1093">SUM(GV66:GX66,GZ66,HB66)</f>
        <v>744</v>
      </c>
      <c r="HJ66" s="85">
        <v>14274.72</v>
      </c>
      <c r="HK66" s="8">
        <v>25</v>
      </c>
      <c r="HN66" s="8" t="s">
        <v>71</v>
      </c>
      <c r="HO66" s="49">
        <f t="shared" ref="HO66:HO78" si="1094">$HN$4-HR66-HT66-HV66</f>
        <v>552.48</v>
      </c>
      <c r="HP66" s="49">
        <v>429.36</v>
      </c>
      <c r="HQ66" s="8">
        <v>123.12</v>
      </c>
      <c r="HR66" s="49">
        <v>167.52</v>
      </c>
      <c r="HS66" s="6">
        <f t="shared" ref="HS66:HS78" si="1095">(HR66/$HN$4)*100</f>
        <v>23.266666666666669</v>
      </c>
      <c r="HT66" s="8">
        <v>0</v>
      </c>
      <c r="HU66" s="8">
        <f t="shared" ref="HU66:HW78" si="1096">(HT66/$HN$4)*100</f>
        <v>0</v>
      </c>
      <c r="HV66" s="8">
        <v>0</v>
      </c>
      <c r="HW66" s="8">
        <f t="shared" si="1096"/>
        <v>0</v>
      </c>
      <c r="HX66" s="8">
        <v>0</v>
      </c>
      <c r="HY66" s="6">
        <f t="shared" ref="HY66:HY70" si="1097">(HO66/$HN$4)*100</f>
        <v>76.733333333333334</v>
      </c>
      <c r="HZ66" s="6">
        <f t="shared" ref="HZ66:HZ74" si="1098">((HO66-HX66)/$HN$4)*100</f>
        <v>76.733333333333334</v>
      </c>
      <c r="IA66" s="18">
        <f t="shared" ref="IA66:IA78" si="1099">IF((AND(HP66=0,HR66=0)),0,(HR66+HX66)/(HP66+HR66)*100)</f>
        <v>28.065942903096104</v>
      </c>
      <c r="IB66" s="6">
        <f t="shared" ref="IB66:IB70" si="1100">(ID66/($HN$4*IE66))*100</f>
        <v>61.498866666666665</v>
      </c>
      <c r="IC66" s="6">
        <f t="shared" ref="IC66:IC78" si="1101">SUM(HP66:HR66,HT66,HV66)</f>
        <v>720</v>
      </c>
      <c r="ID66" s="92">
        <v>11069.796</v>
      </c>
      <c r="IE66" s="8">
        <v>25</v>
      </c>
      <c r="IF66" s="15">
        <v>25</v>
      </c>
    </row>
    <row r="67" spans="1:240" ht="14.25" x14ac:dyDescent="0.2">
      <c r="B67" s="8" t="s">
        <v>72</v>
      </c>
      <c r="C67" s="8">
        <f t="shared" si="1026"/>
        <v>0</v>
      </c>
      <c r="D67" s="8">
        <v>0</v>
      </c>
      <c r="E67" s="8">
        <v>0</v>
      </c>
      <c r="F67" s="8">
        <v>0</v>
      </c>
      <c r="G67" s="8">
        <f t="shared" si="339"/>
        <v>0</v>
      </c>
      <c r="H67" s="8">
        <v>744</v>
      </c>
      <c r="I67" s="8">
        <f t="shared" si="340"/>
        <v>100</v>
      </c>
      <c r="J67" s="8">
        <v>0</v>
      </c>
      <c r="K67" s="6">
        <f t="shared" si="1027"/>
        <v>0</v>
      </c>
      <c r="L67" s="8">
        <v>0</v>
      </c>
      <c r="M67" s="6">
        <f>(C67/$B$4)*100</f>
        <v>0</v>
      </c>
      <c r="N67" s="8">
        <f t="shared" si="525"/>
        <v>0</v>
      </c>
      <c r="O67" s="8">
        <f t="shared" si="1029"/>
        <v>0</v>
      </c>
      <c r="P67" s="6">
        <f t="shared" si="1030"/>
        <v>0</v>
      </c>
      <c r="Q67" s="6">
        <f t="shared" si="1031"/>
        <v>744</v>
      </c>
      <c r="R67" s="8">
        <v>0</v>
      </c>
      <c r="S67" s="8">
        <v>25</v>
      </c>
      <c r="V67" s="8" t="s">
        <v>72</v>
      </c>
      <c r="W67" s="8">
        <f t="shared" si="1032"/>
        <v>744</v>
      </c>
      <c r="X67" s="8">
        <v>325</v>
      </c>
      <c r="Y67" s="8">
        <v>419</v>
      </c>
      <c r="Z67" s="8">
        <v>0</v>
      </c>
      <c r="AA67" s="8">
        <f t="shared" si="1033"/>
        <v>0</v>
      </c>
      <c r="AB67" s="8">
        <v>0</v>
      </c>
      <c r="AC67" s="8">
        <f t="shared" si="1033"/>
        <v>0</v>
      </c>
      <c r="AD67" s="8">
        <v>0</v>
      </c>
      <c r="AE67" s="8">
        <f t="shared" si="1033"/>
        <v>0</v>
      </c>
      <c r="AF67" s="8">
        <v>0</v>
      </c>
      <c r="AG67" s="6">
        <f t="shared" si="1034"/>
        <v>100</v>
      </c>
      <c r="AH67" s="8">
        <f t="shared" si="1035"/>
        <v>100</v>
      </c>
      <c r="AI67" s="8">
        <f t="shared" si="1036"/>
        <v>0</v>
      </c>
      <c r="AJ67" s="6">
        <f t="shared" si="1037"/>
        <v>43.518833333333333</v>
      </c>
      <c r="AK67" s="6">
        <f t="shared" si="1038"/>
        <v>744</v>
      </c>
      <c r="AL67" s="85">
        <v>8094.5029999999997</v>
      </c>
      <c r="AM67" s="8">
        <v>25</v>
      </c>
      <c r="AP67" s="8" t="s">
        <v>72</v>
      </c>
      <c r="AQ67" s="8">
        <f t="shared" si="1039"/>
        <v>720</v>
      </c>
      <c r="AR67" s="8">
        <v>637</v>
      </c>
      <c r="AS67" s="17">
        <f t="shared" si="1040"/>
        <v>83</v>
      </c>
      <c r="AT67" s="8">
        <v>0</v>
      </c>
      <c r="AU67" s="8">
        <f t="shared" si="1041"/>
        <v>0</v>
      </c>
      <c r="AV67" s="8">
        <v>0</v>
      </c>
      <c r="AW67" s="8">
        <f t="shared" si="1042"/>
        <v>0</v>
      </c>
      <c r="AX67" s="8">
        <v>0</v>
      </c>
      <c r="AY67" s="8">
        <f t="shared" si="1043"/>
        <v>0</v>
      </c>
      <c r="AZ67" s="8">
        <v>0</v>
      </c>
      <c r="BA67" s="6">
        <f t="shared" si="1044"/>
        <v>100</v>
      </c>
      <c r="BB67" s="8">
        <f t="shared" si="1045"/>
        <v>100</v>
      </c>
      <c r="BC67" s="8">
        <f t="shared" si="1046"/>
        <v>0</v>
      </c>
      <c r="BD67" s="6">
        <f t="shared" si="1047"/>
        <v>91.115555555555545</v>
      </c>
      <c r="BE67" s="6">
        <f t="shared" si="1048"/>
        <v>720</v>
      </c>
      <c r="BF67" s="93">
        <v>16400.8</v>
      </c>
      <c r="BG67" s="8">
        <v>25</v>
      </c>
      <c r="BJ67" s="8" t="s">
        <v>72</v>
      </c>
      <c r="BK67" s="6">
        <f t="shared" si="1049"/>
        <v>744</v>
      </c>
      <c r="BL67" s="8">
        <v>550</v>
      </c>
      <c r="BM67" s="17">
        <f t="shared" si="1050"/>
        <v>194</v>
      </c>
      <c r="BN67" s="8">
        <v>0</v>
      </c>
      <c r="BO67" s="6">
        <f t="shared" si="1020"/>
        <v>0</v>
      </c>
      <c r="BP67" s="8">
        <v>0</v>
      </c>
      <c r="BQ67" s="6">
        <f t="shared" si="1020"/>
        <v>0</v>
      </c>
      <c r="BR67" s="6">
        <v>0</v>
      </c>
      <c r="BS67" s="6">
        <f t="shared" si="1051"/>
        <v>0</v>
      </c>
      <c r="BT67" s="8">
        <v>0</v>
      </c>
      <c r="BU67" s="6">
        <f t="shared" si="1052"/>
        <v>100</v>
      </c>
      <c r="BV67" s="6">
        <f t="shared" si="898"/>
        <v>100</v>
      </c>
      <c r="BW67" s="18">
        <f t="shared" si="899"/>
        <v>0</v>
      </c>
      <c r="BX67" s="6">
        <f t="shared" si="1053"/>
        <v>74.803822580645161</v>
      </c>
      <c r="BY67" s="6">
        <f t="shared" si="1054"/>
        <v>744</v>
      </c>
      <c r="BZ67" s="43">
        <v>13913.511</v>
      </c>
      <c r="CA67" s="8">
        <v>25</v>
      </c>
      <c r="CD67" s="8" t="s">
        <v>72</v>
      </c>
      <c r="CE67" s="6">
        <f t="shared" si="1055"/>
        <v>656.9</v>
      </c>
      <c r="CF67" s="6">
        <v>496.67</v>
      </c>
      <c r="CG67" s="6">
        <v>160.23000000000002</v>
      </c>
      <c r="CH67" s="8">
        <v>63.1</v>
      </c>
      <c r="CI67" s="6">
        <f>(CH67/$CD$4)*100</f>
        <v>8.7638888888888893</v>
      </c>
      <c r="CJ67" s="8">
        <v>0</v>
      </c>
      <c r="CK67" s="6">
        <f t="shared" si="1022"/>
        <v>0</v>
      </c>
      <c r="CL67" s="6">
        <v>0</v>
      </c>
      <c r="CM67" s="6">
        <f t="shared" si="1056"/>
        <v>0</v>
      </c>
      <c r="CN67" s="8">
        <v>0</v>
      </c>
      <c r="CO67" s="6">
        <f t="shared" si="1057"/>
        <v>91.2361111111111</v>
      </c>
      <c r="CP67" s="6">
        <f t="shared" si="1023"/>
        <v>91.2361111111111</v>
      </c>
      <c r="CQ67" s="18">
        <f>IF((AND(CF67=0,CH67=0)),0,(CH67+CN67)/(CF67+CH67)*100)</f>
        <v>11.272486914268361</v>
      </c>
      <c r="CR67" s="6">
        <f t="shared" si="1059"/>
        <v>73.326777777777778</v>
      </c>
      <c r="CS67" s="6">
        <f t="shared" si="1060"/>
        <v>720.00000000000011</v>
      </c>
      <c r="CT67" s="43">
        <v>13198.82</v>
      </c>
      <c r="CU67" s="8">
        <v>25</v>
      </c>
      <c r="CV67" s="6"/>
      <c r="CX67" s="8" t="s">
        <v>72</v>
      </c>
      <c r="CY67" s="6">
        <f t="shared" si="1061"/>
        <v>677.77</v>
      </c>
      <c r="CZ67" s="8">
        <v>491.64</v>
      </c>
      <c r="DA67" s="8">
        <v>186.13</v>
      </c>
      <c r="DB67" s="8">
        <v>3.35</v>
      </c>
      <c r="DC67" s="6">
        <f t="shared" si="416"/>
        <v>0.45026881720430112</v>
      </c>
      <c r="DD67" s="8">
        <v>0</v>
      </c>
      <c r="DE67" s="6">
        <f t="shared" si="417"/>
        <v>0</v>
      </c>
      <c r="DF67" s="91">
        <v>62.88</v>
      </c>
      <c r="DG67" s="6">
        <f t="shared" si="1062"/>
        <v>8.4516129032258061</v>
      </c>
      <c r="DH67" s="8">
        <v>0</v>
      </c>
      <c r="DI67" s="6">
        <f t="shared" si="1063"/>
        <v>91.098118279569889</v>
      </c>
      <c r="DJ67" s="6">
        <f t="shared" si="464"/>
        <v>91.098118279569889</v>
      </c>
      <c r="DK67" s="18">
        <f t="shared" si="465"/>
        <v>0.67678134911816401</v>
      </c>
      <c r="DL67" s="6">
        <f t="shared" si="1064"/>
        <v>69.80591397849463</v>
      </c>
      <c r="DM67" s="6">
        <f t="shared" si="1065"/>
        <v>744</v>
      </c>
      <c r="DN67" s="43">
        <v>12983.9</v>
      </c>
      <c r="DO67" s="8">
        <v>25</v>
      </c>
      <c r="DR67" s="8" t="s">
        <v>72</v>
      </c>
      <c r="DS67" s="6">
        <f t="shared" si="1066"/>
        <v>688.54</v>
      </c>
      <c r="DT67" s="8">
        <v>419.18</v>
      </c>
      <c r="DU67" s="8">
        <v>269.36</v>
      </c>
      <c r="DV67" s="8">
        <v>23.7</v>
      </c>
      <c r="DW67" s="6">
        <f t="shared" si="420"/>
        <v>3.1854838709677415</v>
      </c>
      <c r="DX67" s="8">
        <v>31.76</v>
      </c>
      <c r="DY67" s="6">
        <f t="shared" si="421"/>
        <v>4.2688172043010759</v>
      </c>
      <c r="DZ67" s="6">
        <v>0</v>
      </c>
      <c r="EA67" s="6">
        <f t="shared" si="1067"/>
        <v>0</v>
      </c>
      <c r="EB67" s="8">
        <v>0</v>
      </c>
      <c r="EC67" s="6">
        <f t="shared" si="1068"/>
        <v>92.545698924731184</v>
      </c>
      <c r="ED67" s="6">
        <f t="shared" si="467"/>
        <v>92.545698924731184</v>
      </c>
      <c r="EE67" s="18">
        <f t="shared" si="468"/>
        <v>5.3513367052023124</v>
      </c>
      <c r="EF67" s="6">
        <f t="shared" si="1069"/>
        <v>60.928908602150536</v>
      </c>
      <c r="EG67" s="6">
        <f t="shared" si="1070"/>
        <v>744</v>
      </c>
      <c r="EH67" s="85">
        <v>11332.777</v>
      </c>
      <c r="EI67" s="8">
        <v>25</v>
      </c>
      <c r="EL67" s="8" t="s">
        <v>72</v>
      </c>
      <c r="EM67" s="6">
        <f t="shared" si="1071"/>
        <v>672</v>
      </c>
      <c r="EN67" s="8">
        <v>247.84</v>
      </c>
      <c r="EO67" s="8">
        <v>424.16</v>
      </c>
      <c r="EP67" s="8">
        <v>0</v>
      </c>
      <c r="EQ67" s="6">
        <f t="shared" si="424"/>
        <v>0</v>
      </c>
      <c r="ER67" s="8">
        <v>0</v>
      </c>
      <c r="ES67" s="6">
        <f t="shared" si="425"/>
        <v>0</v>
      </c>
      <c r="ET67" s="6">
        <v>0</v>
      </c>
      <c r="EU67" s="6">
        <f t="shared" si="1072"/>
        <v>0</v>
      </c>
      <c r="EV67" s="8">
        <v>0</v>
      </c>
      <c r="EW67" s="6">
        <f t="shared" si="1073"/>
        <v>90.322580645161281</v>
      </c>
      <c r="EX67" s="6">
        <f t="shared" si="469"/>
        <v>100</v>
      </c>
      <c r="EY67" s="18">
        <f t="shared" si="470"/>
        <v>0</v>
      </c>
      <c r="EZ67" s="6">
        <f t="shared" si="1074"/>
        <v>36.574130952380948</v>
      </c>
      <c r="FA67" s="6">
        <f t="shared" si="1075"/>
        <v>672</v>
      </c>
      <c r="FB67" s="43">
        <v>6144.4539999999997</v>
      </c>
      <c r="FC67" s="8">
        <v>25</v>
      </c>
      <c r="FF67" s="8" t="s">
        <v>72</v>
      </c>
      <c r="FG67" s="6">
        <f t="shared" si="1076"/>
        <v>734.15</v>
      </c>
      <c r="FH67" s="8">
        <v>522.04</v>
      </c>
      <c r="FI67" s="8">
        <v>212.11</v>
      </c>
      <c r="FJ67" s="8">
        <v>9.85</v>
      </c>
      <c r="FK67" s="6">
        <f t="shared" si="439"/>
        <v>1.3239247311827957</v>
      </c>
      <c r="FL67" s="8">
        <v>0</v>
      </c>
      <c r="FM67" s="6">
        <f t="shared" si="440"/>
        <v>0</v>
      </c>
      <c r="FN67" s="6">
        <v>0</v>
      </c>
      <c r="FO67" s="6">
        <f t="shared" si="1077"/>
        <v>0</v>
      </c>
      <c r="FP67" s="8">
        <v>0</v>
      </c>
      <c r="FQ67" s="6">
        <f t="shared" si="1078"/>
        <v>98.6760752688172</v>
      </c>
      <c r="FR67" s="6">
        <f t="shared" si="473"/>
        <v>98.6760752688172</v>
      </c>
      <c r="FS67" s="18">
        <f t="shared" si="474"/>
        <v>1.8518866682960762</v>
      </c>
      <c r="FT67" s="6">
        <f t="shared" si="1079"/>
        <v>70.278327956989244</v>
      </c>
      <c r="FU67" s="6">
        <f t="shared" si="1080"/>
        <v>744</v>
      </c>
      <c r="FV67" s="43">
        <v>13071.769</v>
      </c>
      <c r="FW67" s="8">
        <v>25</v>
      </c>
      <c r="FZ67" s="8" t="s">
        <v>72</v>
      </c>
      <c r="GA67" s="6">
        <f t="shared" si="1081"/>
        <v>720</v>
      </c>
      <c r="GB67" s="8">
        <v>584.85</v>
      </c>
      <c r="GC67" s="8">
        <v>135.15</v>
      </c>
      <c r="GD67" s="8">
        <v>0</v>
      </c>
      <c r="GE67" s="6">
        <f t="shared" si="1082"/>
        <v>0</v>
      </c>
      <c r="GF67" s="8">
        <v>0</v>
      </c>
      <c r="GG67" s="6">
        <f t="shared" si="1024"/>
        <v>0</v>
      </c>
      <c r="GH67" s="6">
        <v>0</v>
      </c>
      <c r="GI67" s="6">
        <f t="shared" si="1083"/>
        <v>0</v>
      </c>
      <c r="GJ67" s="8">
        <v>0</v>
      </c>
      <c r="GK67" s="6">
        <f t="shared" si="1084"/>
        <v>96.774193548387103</v>
      </c>
      <c r="GL67" s="6">
        <f t="shared" si="1025"/>
        <v>100</v>
      </c>
      <c r="GM67" s="18">
        <f t="shared" si="1085"/>
        <v>0</v>
      </c>
      <c r="GN67" s="6">
        <f t="shared" si="1086"/>
        <v>86.602833333333336</v>
      </c>
      <c r="GO67" s="6">
        <f t="shared" si="1087"/>
        <v>720</v>
      </c>
      <c r="GP67" s="85">
        <v>15588.51</v>
      </c>
      <c r="GQ67" s="8">
        <v>25</v>
      </c>
      <c r="GT67" s="8" t="s">
        <v>72</v>
      </c>
      <c r="GU67" s="8">
        <f t="shared" si="1088"/>
        <v>732.95</v>
      </c>
      <c r="GV67" s="8">
        <v>517.04</v>
      </c>
      <c r="GW67" s="52">
        <v>215.91</v>
      </c>
      <c r="GX67" s="8">
        <v>11.05</v>
      </c>
      <c r="GY67" s="6">
        <f t="shared" si="559"/>
        <v>1.485215053763441</v>
      </c>
      <c r="GZ67" s="8">
        <v>0</v>
      </c>
      <c r="HA67" s="8">
        <f t="shared" si="560"/>
        <v>0</v>
      </c>
      <c r="HB67" s="8">
        <v>0</v>
      </c>
      <c r="HC67" s="6">
        <f t="shared" si="1089"/>
        <v>0</v>
      </c>
      <c r="HD67" s="8">
        <v>0</v>
      </c>
      <c r="HE67" s="6">
        <f t="shared" si="1090"/>
        <v>98.51478494623656</v>
      </c>
      <c r="HF67" s="6">
        <f t="shared" si="1091"/>
        <v>98.51478494623656</v>
      </c>
      <c r="HG67" s="6">
        <f t="shared" si="397"/>
        <v>2.0924463633092851</v>
      </c>
      <c r="HH67" s="6">
        <f t="shared" si="1092"/>
        <v>72.609677419354838</v>
      </c>
      <c r="HI67" s="6">
        <f t="shared" si="1093"/>
        <v>743.99999999999989</v>
      </c>
      <c r="HJ67" s="85">
        <v>13505.4</v>
      </c>
      <c r="HK67" s="8">
        <v>25</v>
      </c>
      <c r="HN67" s="8" t="s">
        <v>72</v>
      </c>
      <c r="HO67" s="49">
        <f t="shared" si="1094"/>
        <v>720</v>
      </c>
      <c r="HP67" s="49">
        <v>561.36</v>
      </c>
      <c r="HQ67" s="8">
        <v>158.63999999999999</v>
      </c>
      <c r="HR67" s="49">
        <v>0</v>
      </c>
      <c r="HS67" s="8">
        <f t="shared" si="1095"/>
        <v>0</v>
      </c>
      <c r="HT67" s="8">
        <v>0</v>
      </c>
      <c r="HU67" s="8">
        <f t="shared" si="1096"/>
        <v>0</v>
      </c>
      <c r="HV67" s="8">
        <v>0</v>
      </c>
      <c r="HW67" s="8">
        <f t="shared" si="1096"/>
        <v>0</v>
      </c>
      <c r="HX67" s="8">
        <v>0</v>
      </c>
      <c r="HY67" s="6">
        <f t="shared" si="1097"/>
        <v>100</v>
      </c>
      <c r="HZ67" s="6">
        <f t="shared" si="1098"/>
        <v>100</v>
      </c>
      <c r="IA67" s="18">
        <f t="shared" si="1099"/>
        <v>0</v>
      </c>
      <c r="IB67" s="6">
        <f t="shared" si="1100"/>
        <v>76.006505555555563</v>
      </c>
      <c r="IC67" s="6">
        <f t="shared" si="1101"/>
        <v>720</v>
      </c>
      <c r="ID67" s="92">
        <v>13681.171</v>
      </c>
      <c r="IE67" s="8">
        <v>25</v>
      </c>
      <c r="IF67" s="15">
        <v>25</v>
      </c>
    </row>
    <row r="68" spans="1:240" ht="14.25" x14ac:dyDescent="0.2">
      <c r="B68" s="8" t="s">
        <v>73</v>
      </c>
      <c r="C68" s="8">
        <f t="shared" si="1026"/>
        <v>744</v>
      </c>
      <c r="D68" s="8">
        <v>608</v>
      </c>
      <c r="E68" s="8">
        <v>136</v>
      </c>
      <c r="F68" s="8">
        <v>0</v>
      </c>
      <c r="G68" s="8">
        <f t="shared" si="339"/>
        <v>0</v>
      </c>
      <c r="H68" s="8">
        <v>0</v>
      </c>
      <c r="I68" s="8">
        <f t="shared" si="340"/>
        <v>0</v>
      </c>
      <c r="J68" s="8">
        <v>0</v>
      </c>
      <c r="K68" s="6">
        <f t="shared" si="1027"/>
        <v>0</v>
      </c>
      <c r="L68" s="8">
        <v>0</v>
      </c>
      <c r="M68" s="6">
        <f t="shared" ref="M68" si="1102">(C68/$B$4)*100</f>
        <v>100</v>
      </c>
      <c r="N68" s="8">
        <f t="shared" si="525"/>
        <v>100</v>
      </c>
      <c r="O68" s="8">
        <f t="shared" si="1029"/>
        <v>0</v>
      </c>
      <c r="P68" s="6">
        <f t="shared" si="1030"/>
        <v>82.060295698924733</v>
      </c>
      <c r="Q68" s="6">
        <f t="shared" si="1031"/>
        <v>744</v>
      </c>
      <c r="R68" s="85">
        <v>15263.215</v>
      </c>
      <c r="S68" s="8">
        <v>25</v>
      </c>
      <c r="V68" s="8" t="s">
        <v>73</v>
      </c>
      <c r="W68" s="8">
        <f t="shared" si="1032"/>
        <v>744</v>
      </c>
      <c r="X68" s="8">
        <v>600</v>
      </c>
      <c r="Y68" s="8">
        <v>144</v>
      </c>
      <c r="Z68" s="8">
        <v>0</v>
      </c>
      <c r="AA68" s="8">
        <f t="shared" si="1033"/>
        <v>0</v>
      </c>
      <c r="AB68" s="8">
        <v>0</v>
      </c>
      <c r="AC68" s="8">
        <f t="shared" si="1033"/>
        <v>0</v>
      </c>
      <c r="AD68" s="8">
        <v>0</v>
      </c>
      <c r="AE68" s="8">
        <f t="shared" si="1033"/>
        <v>0</v>
      </c>
      <c r="AF68" s="8">
        <v>0</v>
      </c>
      <c r="AG68" s="6">
        <f t="shared" si="1034"/>
        <v>100</v>
      </c>
      <c r="AH68" s="8">
        <f t="shared" si="1035"/>
        <v>100</v>
      </c>
      <c r="AI68" s="8">
        <f t="shared" si="1036"/>
        <v>0</v>
      </c>
      <c r="AJ68" s="6">
        <f t="shared" si="1037"/>
        <v>79.972634408602147</v>
      </c>
      <c r="AK68" s="6">
        <f t="shared" si="1038"/>
        <v>744</v>
      </c>
      <c r="AL68" s="85">
        <v>14874.91</v>
      </c>
      <c r="AM68" s="8">
        <v>25</v>
      </c>
      <c r="AP68" s="8" t="s">
        <v>73</v>
      </c>
      <c r="AQ68" s="8">
        <f t="shared" si="1039"/>
        <v>720</v>
      </c>
      <c r="AR68" s="8">
        <v>643</v>
      </c>
      <c r="AS68" s="17">
        <f t="shared" si="1040"/>
        <v>77</v>
      </c>
      <c r="AT68" s="8">
        <v>0</v>
      </c>
      <c r="AU68" s="8">
        <f t="shared" si="1041"/>
        <v>0</v>
      </c>
      <c r="AV68" s="8">
        <v>0</v>
      </c>
      <c r="AW68" s="8">
        <f t="shared" si="1042"/>
        <v>0</v>
      </c>
      <c r="AX68" s="8">
        <v>0</v>
      </c>
      <c r="AY68" s="8">
        <f t="shared" si="1043"/>
        <v>0</v>
      </c>
      <c r="AZ68" s="8">
        <v>0</v>
      </c>
      <c r="BA68" s="6">
        <f t="shared" si="1044"/>
        <v>100</v>
      </c>
      <c r="BB68" s="8">
        <f t="shared" si="1045"/>
        <v>100</v>
      </c>
      <c r="BC68" s="8">
        <f t="shared" si="1046"/>
        <v>0</v>
      </c>
      <c r="BD68" s="6">
        <f t="shared" si="1047"/>
        <v>89.910772222222221</v>
      </c>
      <c r="BE68" s="6">
        <f t="shared" si="1048"/>
        <v>720</v>
      </c>
      <c r="BF68" s="93">
        <v>16183.939</v>
      </c>
      <c r="BG68" s="8">
        <v>25</v>
      </c>
      <c r="BJ68" s="8" t="s">
        <v>73</v>
      </c>
      <c r="BK68" s="6">
        <f t="shared" si="1049"/>
        <v>744</v>
      </c>
      <c r="BL68" s="8">
        <v>596</v>
      </c>
      <c r="BM68" s="17">
        <f t="shared" si="1050"/>
        <v>148</v>
      </c>
      <c r="BN68" s="8">
        <v>0</v>
      </c>
      <c r="BO68" s="6">
        <f t="shared" si="1020"/>
        <v>0</v>
      </c>
      <c r="BP68" s="8">
        <v>0</v>
      </c>
      <c r="BQ68" s="6">
        <f t="shared" si="1020"/>
        <v>0</v>
      </c>
      <c r="BR68" s="6">
        <v>0</v>
      </c>
      <c r="BS68" s="6">
        <f t="shared" si="1051"/>
        <v>0</v>
      </c>
      <c r="BT68" s="8">
        <v>0</v>
      </c>
      <c r="BU68" s="6">
        <f t="shared" si="1052"/>
        <v>100</v>
      </c>
      <c r="BV68" s="6">
        <f t="shared" si="898"/>
        <v>100</v>
      </c>
      <c r="BW68" s="18">
        <f t="shared" si="899"/>
        <v>0</v>
      </c>
      <c r="BX68" s="6">
        <f t="shared" si="1053"/>
        <v>80.198344086021507</v>
      </c>
      <c r="BY68" s="6">
        <f t="shared" si="1054"/>
        <v>744</v>
      </c>
      <c r="BZ68" s="43">
        <v>14916.892</v>
      </c>
      <c r="CA68" s="8">
        <v>25</v>
      </c>
      <c r="CD68" s="8" t="s">
        <v>73</v>
      </c>
      <c r="CE68" s="6">
        <f t="shared" si="1055"/>
        <v>409.36</v>
      </c>
      <c r="CF68" s="6">
        <v>322.10000000000002</v>
      </c>
      <c r="CG68" s="6">
        <v>87.259999999999991</v>
      </c>
      <c r="CH68" s="8">
        <v>310.64</v>
      </c>
      <c r="CI68" s="6">
        <f t="shared" ref="CI68:CI78" si="1103">(CH68/$CD$4)*100</f>
        <v>43.144444444444439</v>
      </c>
      <c r="CJ68" s="8">
        <v>0</v>
      </c>
      <c r="CK68" s="6">
        <f t="shared" si="1022"/>
        <v>0</v>
      </c>
      <c r="CL68" s="6">
        <v>0</v>
      </c>
      <c r="CM68" s="6">
        <f t="shared" si="1056"/>
        <v>0</v>
      </c>
      <c r="CN68" s="8">
        <v>0</v>
      </c>
      <c r="CO68" s="6">
        <f t="shared" si="1057"/>
        <v>56.855555555555561</v>
      </c>
      <c r="CP68" s="6">
        <f t="shared" si="1023"/>
        <v>56.855555555555561</v>
      </c>
      <c r="CQ68" s="18">
        <f t="shared" ref="CQ68:CQ78" si="1104">IF((AND(CF68=0,CH68=0)),0,(CH68+CN68)/(CF68+CH68)*100)</f>
        <v>49.094414767519041</v>
      </c>
      <c r="CR68" s="6">
        <f t="shared" si="1059"/>
        <v>46.31677777777778</v>
      </c>
      <c r="CS68" s="6">
        <f t="shared" si="1060"/>
        <v>720</v>
      </c>
      <c r="CT68" s="43">
        <v>8337.02</v>
      </c>
      <c r="CU68" s="8">
        <v>25</v>
      </c>
      <c r="CV68" s="6"/>
      <c r="CX68" s="8" t="s">
        <v>73</v>
      </c>
      <c r="CY68" s="6">
        <f t="shared" si="1061"/>
        <v>0</v>
      </c>
      <c r="CZ68" s="8">
        <v>0</v>
      </c>
      <c r="DA68" s="8">
        <v>0</v>
      </c>
      <c r="DB68" s="8">
        <v>744</v>
      </c>
      <c r="DC68" s="6">
        <f t="shared" si="416"/>
        <v>100</v>
      </c>
      <c r="DD68" s="8">
        <v>0</v>
      </c>
      <c r="DE68" s="6">
        <f t="shared" si="417"/>
        <v>0</v>
      </c>
      <c r="DF68" s="91">
        <v>0</v>
      </c>
      <c r="DG68" s="6">
        <f t="shared" si="1062"/>
        <v>0</v>
      </c>
      <c r="DH68" s="8">
        <v>0</v>
      </c>
      <c r="DI68" s="6">
        <f t="shared" si="1063"/>
        <v>0</v>
      </c>
      <c r="DJ68" s="6">
        <f t="shared" si="464"/>
        <v>0</v>
      </c>
      <c r="DK68" s="18">
        <f t="shared" si="465"/>
        <v>100</v>
      </c>
      <c r="DL68" s="6">
        <f t="shared" si="1064"/>
        <v>0</v>
      </c>
      <c r="DM68" s="6">
        <f t="shared" si="1065"/>
        <v>744</v>
      </c>
      <c r="DN68" s="8">
        <v>0</v>
      </c>
      <c r="DO68" s="8">
        <v>25</v>
      </c>
      <c r="DR68" s="8" t="s">
        <v>73</v>
      </c>
      <c r="DS68" s="6">
        <f t="shared" si="1066"/>
        <v>0</v>
      </c>
      <c r="DT68" s="8">
        <v>0</v>
      </c>
      <c r="DU68" s="8">
        <v>0</v>
      </c>
      <c r="DV68" s="8">
        <v>744</v>
      </c>
      <c r="DW68" s="6">
        <f t="shared" si="420"/>
        <v>100</v>
      </c>
      <c r="DX68" s="8">
        <v>0</v>
      </c>
      <c r="DY68" s="6">
        <f t="shared" si="421"/>
        <v>0</v>
      </c>
      <c r="DZ68" s="6">
        <v>0</v>
      </c>
      <c r="EA68" s="6">
        <f t="shared" si="1067"/>
        <v>0</v>
      </c>
      <c r="EB68" s="8">
        <v>0</v>
      </c>
      <c r="EC68" s="6">
        <f t="shared" si="1068"/>
        <v>0</v>
      </c>
      <c r="ED68" s="6">
        <f t="shared" si="467"/>
        <v>0</v>
      </c>
      <c r="EE68" s="18">
        <f t="shared" si="468"/>
        <v>100</v>
      </c>
      <c r="EF68" s="6">
        <f t="shared" si="1069"/>
        <v>0</v>
      </c>
      <c r="EG68" s="6">
        <f t="shared" si="1070"/>
        <v>744</v>
      </c>
      <c r="EH68" s="8">
        <v>0</v>
      </c>
      <c r="EI68" s="8">
        <v>25</v>
      </c>
      <c r="EL68" s="8" t="s">
        <v>73</v>
      </c>
      <c r="EM68" s="6">
        <f t="shared" si="1071"/>
        <v>0</v>
      </c>
      <c r="EN68" s="8">
        <v>0</v>
      </c>
      <c r="EO68" s="8">
        <v>0</v>
      </c>
      <c r="EP68" s="8">
        <v>672</v>
      </c>
      <c r="EQ68" s="6">
        <f t="shared" si="424"/>
        <v>100</v>
      </c>
      <c r="ER68" s="8">
        <v>0</v>
      </c>
      <c r="ES68" s="6">
        <f t="shared" si="425"/>
        <v>0</v>
      </c>
      <c r="ET68" s="6">
        <v>0</v>
      </c>
      <c r="EU68" s="6">
        <f t="shared" si="1072"/>
        <v>0</v>
      </c>
      <c r="EV68" s="8">
        <v>0</v>
      </c>
      <c r="EW68" s="6">
        <f t="shared" si="1073"/>
        <v>0</v>
      </c>
      <c r="EX68" s="6">
        <f t="shared" si="469"/>
        <v>0</v>
      </c>
      <c r="EY68" s="18">
        <f t="shared" si="470"/>
        <v>100</v>
      </c>
      <c r="EZ68" s="6">
        <f t="shared" si="1074"/>
        <v>0</v>
      </c>
      <c r="FA68" s="6">
        <f t="shared" si="1075"/>
        <v>672</v>
      </c>
      <c r="FB68" s="8">
        <v>0</v>
      </c>
      <c r="FC68" s="8">
        <v>25</v>
      </c>
      <c r="FF68" s="8" t="s">
        <v>73</v>
      </c>
      <c r="FG68" s="6">
        <f t="shared" si="1076"/>
        <v>0</v>
      </c>
      <c r="FH68" s="8">
        <v>0</v>
      </c>
      <c r="FI68" s="8">
        <v>0</v>
      </c>
      <c r="FJ68" s="8">
        <v>744</v>
      </c>
      <c r="FK68" s="6">
        <f t="shared" si="439"/>
        <v>100</v>
      </c>
      <c r="FL68" s="8">
        <v>0</v>
      </c>
      <c r="FM68" s="6">
        <f t="shared" si="440"/>
        <v>0</v>
      </c>
      <c r="FN68" s="6">
        <v>0</v>
      </c>
      <c r="FO68" s="6">
        <f t="shared" si="1077"/>
        <v>0</v>
      </c>
      <c r="FP68" s="8">
        <v>0</v>
      </c>
      <c r="FQ68" s="6">
        <f t="shared" si="1078"/>
        <v>0</v>
      </c>
      <c r="FR68" s="6">
        <f t="shared" si="473"/>
        <v>0</v>
      </c>
      <c r="FS68" s="18">
        <f t="shared" si="474"/>
        <v>100</v>
      </c>
      <c r="FT68" s="6">
        <f t="shared" si="1079"/>
        <v>0</v>
      </c>
      <c r="FU68" s="6">
        <f t="shared" si="1080"/>
        <v>744</v>
      </c>
      <c r="FV68" s="8">
        <v>0</v>
      </c>
      <c r="FW68" s="8">
        <v>25</v>
      </c>
      <c r="FZ68" s="8" t="s">
        <v>73</v>
      </c>
      <c r="GA68" s="6">
        <f t="shared" si="1081"/>
        <v>0</v>
      </c>
      <c r="GB68" s="8">
        <v>0</v>
      </c>
      <c r="GC68" s="8">
        <v>0</v>
      </c>
      <c r="GD68" s="8">
        <v>720</v>
      </c>
      <c r="GE68" s="6">
        <f t="shared" si="1082"/>
        <v>1</v>
      </c>
      <c r="GF68" s="8">
        <v>0</v>
      </c>
      <c r="GG68" s="6">
        <f t="shared" si="1024"/>
        <v>0</v>
      </c>
      <c r="GH68" s="6">
        <v>0</v>
      </c>
      <c r="GI68" s="6">
        <f t="shared" si="1083"/>
        <v>0</v>
      </c>
      <c r="GJ68" s="8">
        <v>0</v>
      </c>
      <c r="GK68" s="6">
        <f t="shared" si="1084"/>
        <v>0</v>
      </c>
      <c r="GL68" s="6">
        <f t="shared" si="1025"/>
        <v>0</v>
      </c>
      <c r="GM68" s="18">
        <f t="shared" si="1085"/>
        <v>100</v>
      </c>
      <c r="GN68" s="6">
        <f t="shared" si="1086"/>
        <v>0</v>
      </c>
      <c r="GO68" s="6">
        <f t="shared" si="1087"/>
        <v>720</v>
      </c>
      <c r="GP68" s="8">
        <v>0</v>
      </c>
      <c r="GQ68" s="8">
        <v>25</v>
      </c>
      <c r="GT68" s="8" t="s">
        <v>73</v>
      </c>
      <c r="GU68" s="8">
        <f t="shared" si="1088"/>
        <v>0</v>
      </c>
      <c r="GV68" s="8">
        <v>0</v>
      </c>
      <c r="GW68" s="52">
        <v>0</v>
      </c>
      <c r="GX68" s="8">
        <v>744</v>
      </c>
      <c r="GY68" s="8">
        <f t="shared" si="559"/>
        <v>100</v>
      </c>
      <c r="GZ68" s="8">
        <v>0</v>
      </c>
      <c r="HA68" s="8">
        <f t="shared" si="560"/>
        <v>0</v>
      </c>
      <c r="HB68" s="8">
        <v>0</v>
      </c>
      <c r="HC68" s="6">
        <f t="shared" si="1089"/>
        <v>0</v>
      </c>
      <c r="HD68" s="8">
        <v>0</v>
      </c>
      <c r="HE68" s="6">
        <f t="shared" si="1090"/>
        <v>0</v>
      </c>
      <c r="HF68" s="6">
        <f t="shared" si="1091"/>
        <v>0</v>
      </c>
      <c r="HG68" s="8">
        <f t="shared" si="397"/>
        <v>100</v>
      </c>
      <c r="HH68" s="6">
        <f t="shared" si="1092"/>
        <v>0</v>
      </c>
      <c r="HI68" s="6">
        <f t="shared" si="1093"/>
        <v>744</v>
      </c>
      <c r="HJ68" s="8">
        <v>0</v>
      </c>
      <c r="HK68" s="8">
        <v>25</v>
      </c>
      <c r="HN68" s="8" t="s">
        <v>73</v>
      </c>
      <c r="HO68" s="49">
        <f t="shared" si="1094"/>
        <v>0</v>
      </c>
      <c r="HP68" s="49">
        <v>0</v>
      </c>
      <c r="HQ68" s="8">
        <v>0</v>
      </c>
      <c r="HR68" s="49">
        <v>720</v>
      </c>
      <c r="HS68" s="8">
        <f t="shared" si="1095"/>
        <v>100</v>
      </c>
      <c r="HT68" s="8">
        <v>0</v>
      </c>
      <c r="HU68" s="8">
        <f t="shared" si="1096"/>
        <v>0</v>
      </c>
      <c r="HV68" s="8">
        <v>0</v>
      </c>
      <c r="HW68" s="8">
        <f t="shared" si="1096"/>
        <v>0</v>
      </c>
      <c r="HX68" s="8">
        <v>0</v>
      </c>
      <c r="HY68" s="6">
        <f t="shared" si="1097"/>
        <v>0</v>
      </c>
      <c r="HZ68" s="6">
        <f t="shared" si="1098"/>
        <v>0</v>
      </c>
      <c r="IA68" s="18">
        <f t="shared" si="1099"/>
        <v>100</v>
      </c>
      <c r="IB68" s="6">
        <f t="shared" si="1100"/>
        <v>0</v>
      </c>
      <c r="IC68" s="6">
        <f t="shared" si="1101"/>
        <v>720</v>
      </c>
      <c r="ID68" s="94">
        <v>0</v>
      </c>
      <c r="IE68" s="8">
        <v>25</v>
      </c>
      <c r="IF68" s="15">
        <v>0</v>
      </c>
    </row>
    <row r="69" spans="1:240" ht="14.25" x14ac:dyDescent="0.2">
      <c r="B69" s="8" t="s">
        <v>74</v>
      </c>
      <c r="C69" s="8">
        <f t="shared" si="1026"/>
        <v>744</v>
      </c>
      <c r="D69" s="8">
        <v>579</v>
      </c>
      <c r="E69" s="8">
        <v>165</v>
      </c>
      <c r="F69" s="8">
        <v>0</v>
      </c>
      <c r="G69" s="8">
        <f t="shared" si="339"/>
        <v>0</v>
      </c>
      <c r="H69" s="8">
        <v>0</v>
      </c>
      <c r="I69" s="8">
        <f t="shared" si="340"/>
        <v>0</v>
      </c>
      <c r="J69" s="8">
        <v>0</v>
      </c>
      <c r="K69" s="6">
        <f t="shared" si="1027"/>
        <v>0</v>
      </c>
      <c r="L69" s="8">
        <v>0</v>
      </c>
      <c r="M69" s="6">
        <f>(C69/$B$4)*100</f>
        <v>100</v>
      </c>
      <c r="N69" s="8">
        <f t="shared" si="525"/>
        <v>100</v>
      </c>
      <c r="O69" s="8">
        <f t="shared" si="1029"/>
        <v>0</v>
      </c>
      <c r="P69" s="6">
        <f t="shared" si="1030"/>
        <v>78.538118279569886</v>
      </c>
      <c r="Q69" s="6">
        <f t="shared" si="1031"/>
        <v>744</v>
      </c>
      <c r="R69" s="85">
        <v>14608.09</v>
      </c>
      <c r="S69" s="8">
        <v>25</v>
      </c>
      <c r="V69" s="8" t="s">
        <v>74</v>
      </c>
      <c r="W69" s="8">
        <f t="shared" si="1032"/>
        <v>744</v>
      </c>
      <c r="X69" s="8">
        <v>571</v>
      </c>
      <c r="Y69" s="8">
        <v>173</v>
      </c>
      <c r="Z69" s="8">
        <v>0</v>
      </c>
      <c r="AA69" s="8">
        <f t="shared" si="1033"/>
        <v>0</v>
      </c>
      <c r="AB69" s="8">
        <v>0</v>
      </c>
      <c r="AC69" s="8">
        <f t="shared" si="1033"/>
        <v>0</v>
      </c>
      <c r="AD69" s="8">
        <v>0</v>
      </c>
      <c r="AE69" s="8">
        <f t="shared" si="1033"/>
        <v>0</v>
      </c>
      <c r="AF69" s="8">
        <v>0</v>
      </c>
      <c r="AG69" s="6">
        <f t="shared" si="1034"/>
        <v>100</v>
      </c>
      <c r="AH69" s="8">
        <f t="shared" si="1035"/>
        <v>100</v>
      </c>
      <c r="AI69" s="8">
        <f t="shared" si="1036"/>
        <v>0</v>
      </c>
      <c r="AJ69" s="6">
        <f t="shared" si="1037"/>
        <v>77.112268817204296</v>
      </c>
      <c r="AK69" s="6">
        <f t="shared" si="1038"/>
        <v>744</v>
      </c>
      <c r="AL69" s="85">
        <v>14342.882</v>
      </c>
      <c r="AM69" s="8">
        <v>25</v>
      </c>
      <c r="AP69" s="8" t="s">
        <v>74</v>
      </c>
      <c r="AQ69" s="8">
        <f t="shared" si="1039"/>
        <v>720</v>
      </c>
      <c r="AR69" s="8">
        <v>643</v>
      </c>
      <c r="AS69" s="17">
        <f t="shared" si="1040"/>
        <v>77</v>
      </c>
      <c r="AT69" s="8">
        <v>0</v>
      </c>
      <c r="AU69" s="8">
        <f t="shared" si="1041"/>
        <v>0</v>
      </c>
      <c r="AV69" s="8">
        <v>0</v>
      </c>
      <c r="AW69" s="8">
        <f t="shared" si="1042"/>
        <v>0</v>
      </c>
      <c r="AX69" s="8">
        <v>0</v>
      </c>
      <c r="AY69" s="8">
        <f t="shared" si="1043"/>
        <v>0</v>
      </c>
      <c r="AZ69" s="8">
        <v>0</v>
      </c>
      <c r="BA69" s="6">
        <f t="shared" si="1044"/>
        <v>100</v>
      </c>
      <c r="BB69" s="8">
        <f t="shared" si="1045"/>
        <v>100</v>
      </c>
      <c r="BC69" s="8">
        <f t="shared" si="1046"/>
        <v>0</v>
      </c>
      <c r="BD69" s="6">
        <f>(BF69/($AP$4*BG69))*100</f>
        <v>90.567355555555551</v>
      </c>
      <c r="BE69" s="6">
        <f t="shared" si="1048"/>
        <v>720</v>
      </c>
      <c r="BF69" s="93">
        <v>16302.124</v>
      </c>
      <c r="BG69" s="8">
        <v>25</v>
      </c>
      <c r="BJ69" s="8" t="s">
        <v>74</v>
      </c>
      <c r="BK69" s="6">
        <f t="shared" si="1049"/>
        <v>744</v>
      </c>
      <c r="BL69" s="8">
        <v>489</v>
      </c>
      <c r="BM69" s="17">
        <f t="shared" si="1050"/>
        <v>255</v>
      </c>
      <c r="BN69" s="8">
        <v>0</v>
      </c>
      <c r="BO69" s="6">
        <f t="shared" si="1020"/>
        <v>0</v>
      </c>
      <c r="BP69" s="8">
        <v>0</v>
      </c>
      <c r="BQ69" s="6">
        <f t="shared" si="1020"/>
        <v>0</v>
      </c>
      <c r="BR69" s="6">
        <v>0</v>
      </c>
      <c r="BS69" s="6">
        <f t="shared" si="1051"/>
        <v>0</v>
      </c>
      <c r="BT69" s="8">
        <v>0</v>
      </c>
      <c r="BU69" s="6">
        <f t="shared" si="1052"/>
        <v>100</v>
      </c>
      <c r="BV69" s="6">
        <f t="shared" si="898"/>
        <v>100</v>
      </c>
      <c r="BW69" s="18">
        <f t="shared" si="899"/>
        <v>0</v>
      </c>
      <c r="BX69" s="6">
        <f t="shared" si="1053"/>
        <v>66.570870967741939</v>
      </c>
      <c r="BY69" s="6">
        <f t="shared" si="1054"/>
        <v>744</v>
      </c>
      <c r="BZ69" s="43">
        <v>12382.182000000001</v>
      </c>
      <c r="CA69" s="8">
        <v>25</v>
      </c>
      <c r="CD69" s="8" t="s">
        <v>74</v>
      </c>
      <c r="CE69" s="6">
        <f t="shared" si="1055"/>
        <v>662.05</v>
      </c>
      <c r="CF69" s="6">
        <v>492.14</v>
      </c>
      <c r="CG69" s="6">
        <v>169.90999999999997</v>
      </c>
      <c r="CH69" s="8">
        <v>57.95</v>
      </c>
      <c r="CI69" s="6">
        <f t="shared" si="1103"/>
        <v>8.0486111111111125</v>
      </c>
      <c r="CJ69" s="8">
        <v>0</v>
      </c>
      <c r="CK69" s="6">
        <f t="shared" si="1022"/>
        <v>0</v>
      </c>
      <c r="CL69" s="6">
        <v>0</v>
      </c>
      <c r="CM69" s="6">
        <f t="shared" si="1056"/>
        <v>0</v>
      </c>
      <c r="CN69" s="8">
        <v>0</v>
      </c>
      <c r="CO69" s="6">
        <f t="shared" si="1057"/>
        <v>91.951388888888886</v>
      </c>
      <c r="CP69" s="6">
        <f t="shared" si="1023"/>
        <v>91.951388888888886</v>
      </c>
      <c r="CQ69" s="18">
        <f t="shared" si="1104"/>
        <v>10.5346397862168</v>
      </c>
      <c r="CR69" s="6">
        <f t="shared" si="1059"/>
        <v>70.12433333333334</v>
      </c>
      <c r="CS69" s="6">
        <f t="shared" si="1060"/>
        <v>720</v>
      </c>
      <c r="CT69" s="43">
        <v>12622.38</v>
      </c>
      <c r="CU69" s="8">
        <v>25</v>
      </c>
      <c r="CV69" s="6"/>
      <c r="CX69" s="8" t="s">
        <v>74</v>
      </c>
      <c r="CY69" s="6">
        <f t="shared" si="1061"/>
        <v>659.73</v>
      </c>
      <c r="CZ69" s="8">
        <v>542.52</v>
      </c>
      <c r="DA69" s="8">
        <v>117.21000000000004</v>
      </c>
      <c r="DB69" s="8">
        <v>21.49</v>
      </c>
      <c r="DC69" s="6">
        <f t="shared" si="416"/>
        <v>2.8884408602150535</v>
      </c>
      <c r="DD69" s="8">
        <v>0</v>
      </c>
      <c r="DE69" s="6">
        <f t="shared" si="417"/>
        <v>0</v>
      </c>
      <c r="DF69" s="91">
        <v>62.78</v>
      </c>
      <c r="DG69" s="6">
        <f>(DF69/$CX$4)*100</f>
        <v>8.4381720430107521</v>
      </c>
      <c r="DH69" s="8">
        <v>0</v>
      </c>
      <c r="DI69" s="6">
        <f t="shared" si="1063"/>
        <v>88.673387096774192</v>
      </c>
      <c r="DJ69" s="6">
        <f t="shared" si="464"/>
        <v>88.673387096774192</v>
      </c>
      <c r="DK69" s="18">
        <f t="shared" si="465"/>
        <v>3.8102161309196645</v>
      </c>
      <c r="DL69" s="6">
        <f t="shared" si="1064"/>
        <v>75.981774193548389</v>
      </c>
      <c r="DM69" s="6">
        <f t="shared" si="1065"/>
        <v>744</v>
      </c>
      <c r="DN69" s="43">
        <v>14132.61</v>
      </c>
      <c r="DO69" s="8">
        <v>25</v>
      </c>
      <c r="DR69" s="8" t="s">
        <v>74</v>
      </c>
      <c r="DS69" s="6">
        <f t="shared" si="1066"/>
        <v>670.90000000000009</v>
      </c>
      <c r="DT69" s="8">
        <v>432.32</v>
      </c>
      <c r="DU69" s="8">
        <v>238.58</v>
      </c>
      <c r="DV69" s="8">
        <v>44.81</v>
      </c>
      <c r="DW69" s="6">
        <f t="shared" si="420"/>
        <v>6.0228494623655919</v>
      </c>
      <c r="DX69" s="8">
        <v>28.29</v>
      </c>
      <c r="DY69" s="6">
        <f t="shared" si="421"/>
        <v>3.80241935483871</v>
      </c>
      <c r="DZ69" s="6">
        <v>0</v>
      </c>
      <c r="EA69" s="6">
        <f>(DZ69/$DR$4)*100</f>
        <v>0</v>
      </c>
      <c r="EB69" s="8">
        <v>0</v>
      </c>
      <c r="EC69" s="6">
        <f t="shared" si="1068"/>
        <v>90.174731182795711</v>
      </c>
      <c r="ED69" s="6">
        <f t="shared" si="467"/>
        <v>90.174731182795711</v>
      </c>
      <c r="EE69" s="18">
        <f t="shared" si="468"/>
        <v>9.3915704315385753</v>
      </c>
      <c r="EF69" s="6">
        <f t="shared" si="1069"/>
        <v>64.978919354838709</v>
      </c>
      <c r="EG69" s="6">
        <f t="shared" si="1070"/>
        <v>744</v>
      </c>
      <c r="EH69" s="85">
        <v>12086.079</v>
      </c>
      <c r="EI69" s="8">
        <v>25</v>
      </c>
      <c r="EL69" s="8" t="s">
        <v>74</v>
      </c>
      <c r="EM69" s="6">
        <f t="shared" si="1071"/>
        <v>669.38</v>
      </c>
      <c r="EN69" s="8">
        <v>389.37</v>
      </c>
      <c r="EO69" s="8">
        <v>280.01</v>
      </c>
      <c r="EP69" s="8">
        <v>2.62</v>
      </c>
      <c r="EQ69" s="6">
        <f t="shared" si="424"/>
        <v>0.38988095238095238</v>
      </c>
      <c r="ER69" s="8">
        <v>0</v>
      </c>
      <c r="ES69" s="6">
        <f t="shared" si="425"/>
        <v>0</v>
      </c>
      <c r="ET69" s="6">
        <v>0</v>
      </c>
      <c r="EU69" s="6">
        <f>(ET69/$EL$4)*100</f>
        <v>0</v>
      </c>
      <c r="EV69" s="8">
        <v>0</v>
      </c>
      <c r="EW69" s="6">
        <f t="shared" si="1073"/>
        <v>89.97043010752688</v>
      </c>
      <c r="EX69" s="6">
        <f t="shared" si="469"/>
        <v>99.610119047619051</v>
      </c>
      <c r="EY69" s="18">
        <f t="shared" si="470"/>
        <v>0.6683843975611623</v>
      </c>
      <c r="EZ69" s="6">
        <f t="shared" si="1074"/>
        <v>60.326815476190475</v>
      </c>
      <c r="FA69" s="6">
        <f t="shared" si="1075"/>
        <v>672</v>
      </c>
      <c r="FB69" s="43">
        <v>10134.905000000001</v>
      </c>
      <c r="FC69" s="8">
        <v>25</v>
      </c>
      <c r="FF69" s="8" t="s">
        <v>74</v>
      </c>
      <c r="FG69" s="6">
        <f t="shared" si="1076"/>
        <v>696.06</v>
      </c>
      <c r="FH69" s="8">
        <v>550.78</v>
      </c>
      <c r="FI69" s="8">
        <v>145.28</v>
      </c>
      <c r="FJ69" s="8">
        <v>47.94</v>
      </c>
      <c r="FK69" s="6">
        <f t="shared" si="439"/>
        <v>6.443548387096774</v>
      </c>
      <c r="FL69" s="8">
        <v>0</v>
      </c>
      <c r="FM69" s="6">
        <f t="shared" si="440"/>
        <v>0</v>
      </c>
      <c r="FN69" s="6">
        <v>0</v>
      </c>
      <c r="FO69" s="6">
        <f t="shared" si="1077"/>
        <v>0</v>
      </c>
      <c r="FP69" s="8">
        <v>0</v>
      </c>
      <c r="FQ69" s="6">
        <f t="shared" si="1078"/>
        <v>93.556451612903217</v>
      </c>
      <c r="FR69" s="6">
        <f t="shared" si="473"/>
        <v>93.556451612903217</v>
      </c>
      <c r="FS69" s="18">
        <f t="shared" si="474"/>
        <v>8.0070817744521641</v>
      </c>
      <c r="FT69" s="6">
        <f t="shared" si="1079"/>
        <v>71.657177419354838</v>
      </c>
      <c r="FU69" s="6">
        <f t="shared" si="1080"/>
        <v>744</v>
      </c>
      <c r="FV69" s="43">
        <v>13328.235000000001</v>
      </c>
      <c r="FW69" s="8">
        <v>25</v>
      </c>
      <c r="FZ69" s="8" t="s">
        <v>74</v>
      </c>
      <c r="GA69" s="6">
        <f t="shared" si="1081"/>
        <v>605.70000000000005</v>
      </c>
      <c r="GB69" s="8">
        <v>513.89</v>
      </c>
      <c r="GC69" s="8">
        <v>91.81</v>
      </c>
      <c r="GD69" s="8">
        <v>114.3</v>
      </c>
      <c r="GE69" s="6">
        <f t="shared" si="1082"/>
        <v>0.15875</v>
      </c>
      <c r="GF69" s="8">
        <v>0</v>
      </c>
      <c r="GG69" s="6">
        <f t="shared" si="1024"/>
        <v>0</v>
      </c>
      <c r="GH69" s="6">
        <v>0</v>
      </c>
      <c r="GI69" s="6">
        <f t="shared" si="1083"/>
        <v>0</v>
      </c>
      <c r="GJ69" s="8">
        <v>0</v>
      </c>
      <c r="GK69" s="6">
        <f t="shared" si="1084"/>
        <v>81.411290322580655</v>
      </c>
      <c r="GL69" s="6">
        <f t="shared" si="1025"/>
        <v>84.125</v>
      </c>
      <c r="GM69" s="18">
        <f t="shared" si="1085"/>
        <v>18.195132046037028</v>
      </c>
      <c r="GN69" s="6">
        <f t="shared" si="1086"/>
        <v>66.316888888888897</v>
      </c>
      <c r="GO69" s="6">
        <f t="shared" si="1087"/>
        <v>720</v>
      </c>
      <c r="GP69" s="85">
        <v>11937.04</v>
      </c>
      <c r="GQ69" s="8">
        <v>25</v>
      </c>
      <c r="GT69" s="8" t="s">
        <v>74</v>
      </c>
      <c r="GU69" s="8">
        <f t="shared" si="1088"/>
        <v>744</v>
      </c>
      <c r="GV69" s="8">
        <v>579.46</v>
      </c>
      <c r="GW69" s="52">
        <v>164.54000000000099</v>
      </c>
      <c r="GX69" s="8">
        <v>0</v>
      </c>
      <c r="GY69" s="8">
        <f t="shared" si="559"/>
        <v>0</v>
      </c>
      <c r="GZ69" s="8">
        <v>0</v>
      </c>
      <c r="HA69" s="8">
        <f t="shared" si="560"/>
        <v>0</v>
      </c>
      <c r="HB69" s="8">
        <v>0</v>
      </c>
      <c r="HC69" s="6">
        <f t="shared" si="1089"/>
        <v>0</v>
      </c>
      <c r="HD69" s="8">
        <v>0</v>
      </c>
      <c r="HE69" s="6">
        <f t="shared" si="1090"/>
        <v>100</v>
      </c>
      <c r="HF69" s="6">
        <f t="shared" si="1091"/>
        <v>100</v>
      </c>
      <c r="HG69" s="8">
        <f t="shared" si="397"/>
        <v>0</v>
      </c>
      <c r="HH69" s="6">
        <f t="shared" si="1092"/>
        <v>77.799139784946234</v>
      </c>
      <c r="HI69" s="6">
        <f t="shared" si="1093"/>
        <v>744.00000000000102</v>
      </c>
      <c r="HJ69" s="85">
        <v>14470.64</v>
      </c>
      <c r="HK69" s="8">
        <v>25</v>
      </c>
      <c r="HN69" s="8" t="s">
        <v>74</v>
      </c>
      <c r="HO69" s="49">
        <f t="shared" si="1094"/>
        <v>720</v>
      </c>
      <c r="HP69" s="49">
        <v>566.45000000000005</v>
      </c>
      <c r="HQ69" s="8">
        <v>153.54999999999995</v>
      </c>
      <c r="HR69" s="49">
        <v>0</v>
      </c>
      <c r="HS69" s="8">
        <f t="shared" si="1095"/>
        <v>0</v>
      </c>
      <c r="HT69" s="8">
        <v>0</v>
      </c>
      <c r="HU69" s="8">
        <f t="shared" si="1096"/>
        <v>0</v>
      </c>
      <c r="HV69" s="8">
        <v>0</v>
      </c>
      <c r="HW69" s="8">
        <f t="shared" si="1096"/>
        <v>0</v>
      </c>
      <c r="HX69" s="8">
        <v>0</v>
      </c>
      <c r="HY69" s="6">
        <f t="shared" si="1097"/>
        <v>100</v>
      </c>
      <c r="HZ69" s="6">
        <f t="shared" si="1098"/>
        <v>100</v>
      </c>
      <c r="IA69" s="18">
        <f t="shared" si="1099"/>
        <v>0</v>
      </c>
      <c r="IB69" s="6">
        <f t="shared" si="1100"/>
        <v>78.5173611111111</v>
      </c>
      <c r="IC69" s="6">
        <f t="shared" si="1101"/>
        <v>720</v>
      </c>
      <c r="ID69" s="92">
        <v>14133.125</v>
      </c>
      <c r="IE69" s="8">
        <v>25</v>
      </c>
      <c r="IF69" s="15">
        <v>25</v>
      </c>
    </row>
    <row r="70" spans="1:240" ht="14.25" x14ac:dyDescent="0.2">
      <c r="B70" s="8" t="s">
        <v>75</v>
      </c>
      <c r="C70" s="8">
        <f t="shared" si="1026"/>
        <v>744</v>
      </c>
      <c r="D70" s="8">
        <v>521</v>
      </c>
      <c r="E70" s="8">
        <v>223</v>
      </c>
      <c r="F70" s="8">
        <v>0</v>
      </c>
      <c r="G70" s="8">
        <f t="shared" si="339"/>
        <v>0</v>
      </c>
      <c r="H70" s="8">
        <v>0</v>
      </c>
      <c r="I70" s="8">
        <f t="shared" si="340"/>
        <v>0</v>
      </c>
      <c r="J70" s="8">
        <v>0</v>
      </c>
      <c r="K70" s="6">
        <f t="shared" si="1027"/>
        <v>0</v>
      </c>
      <c r="L70" s="8">
        <v>0</v>
      </c>
      <c r="M70" s="6">
        <f t="shared" ref="M70" si="1105">(C70/$B$4)*100</f>
        <v>100</v>
      </c>
      <c r="N70" s="8">
        <f t="shared" si="525"/>
        <v>100</v>
      </c>
      <c r="O70" s="8">
        <f t="shared" si="1029"/>
        <v>0</v>
      </c>
      <c r="P70" s="6">
        <f t="shared" si="1030"/>
        <v>71.1039623655914</v>
      </c>
      <c r="Q70" s="6">
        <f t="shared" si="1031"/>
        <v>744</v>
      </c>
      <c r="R70" s="85">
        <v>13225.337</v>
      </c>
      <c r="S70" s="8">
        <v>25</v>
      </c>
      <c r="V70" s="8" t="s">
        <v>75</v>
      </c>
      <c r="W70" s="8">
        <f t="shared" si="1032"/>
        <v>744</v>
      </c>
      <c r="X70" s="8">
        <v>593</v>
      </c>
      <c r="Y70" s="8">
        <v>151</v>
      </c>
      <c r="Z70" s="8">
        <v>0</v>
      </c>
      <c r="AA70" s="8">
        <f t="shared" si="1033"/>
        <v>0</v>
      </c>
      <c r="AB70" s="8">
        <v>0</v>
      </c>
      <c r="AC70" s="8">
        <f t="shared" si="1033"/>
        <v>0</v>
      </c>
      <c r="AD70" s="8">
        <v>0</v>
      </c>
      <c r="AE70" s="8">
        <f t="shared" si="1033"/>
        <v>0</v>
      </c>
      <c r="AF70" s="8">
        <v>0</v>
      </c>
      <c r="AG70" s="6">
        <f t="shared" si="1034"/>
        <v>100</v>
      </c>
      <c r="AH70" s="8">
        <f t="shared" si="1035"/>
        <v>100</v>
      </c>
      <c r="AI70" s="8">
        <f t="shared" si="1036"/>
        <v>0</v>
      </c>
      <c r="AJ70" s="6">
        <f t="shared" si="1037"/>
        <v>80.753822580645163</v>
      </c>
      <c r="AK70" s="6">
        <f t="shared" si="1038"/>
        <v>744</v>
      </c>
      <c r="AL70" s="85">
        <v>15020.210999999999</v>
      </c>
      <c r="AM70" s="8">
        <v>25</v>
      </c>
      <c r="AP70" s="8" t="s">
        <v>75</v>
      </c>
      <c r="AQ70" s="8">
        <f t="shared" si="1039"/>
        <v>720</v>
      </c>
      <c r="AR70" s="8">
        <v>632</v>
      </c>
      <c r="AS70" s="17">
        <f t="shared" si="1040"/>
        <v>88</v>
      </c>
      <c r="AT70" s="8">
        <v>0</v>
      </c>
      <c r="AU70" s="8">
        <f t="shared" si="1041"/>
        <v>0</v>
      </c>
      <c r="AV70" s="8">
        <v>0</v>
      </c>
      <c r="AW70" s="8">
        <f t="shared" si="1042"/>
        <v>0</v>
      </c>
      <c r="AX70" s="8">
        <v>0</v>
      </c>
      <c r="AY70" s="8">
        <f t="shared" si="1043"/>
        <v>0</v>
      </c>
      <c r="AZ70" s="8">
        <v>0</v>
      </c>
      <c r="BA70" s="6">
        <f t="shared" si="1044"/>
        <v>100</v>
      </c>
      <c r="BB70" s="8">
        <f t="shared" si="1045"/>
        <v>100</v>
      </c>
      <c r="BC70" s="8">
        <f t="shared" si="1046"/>
        <v>0</v>
      </c>
      <c r="BD70" s="6">
        <f t="shared" ref="BD70:BD72" si="1106">(BF70/($AP$4*BG70))*100</f>
        <v>87.3649611111111</v>
      </c>
      <c r="BE70" s="6">
        <f t="shared" si="1048"/>
        <v>720</v>
      </c>
      <c r="BF70" s="93">
        <v>15725.692999999999</v>
      </c>
      <c r="BG70" s="8">
        <v>25</v>
      </c>
      <c r="BJ70" s="8" t="s">
        <v>75</v>
      </c>
      <c r="BK70" s="6">
        <f t="shared" si="1049"/>
        <v>744</v>
      </c>
      <c r="BL70" s="8">
        <v>603</v>
      </c>
      <c r="BM70" s="17">
        <f t="shared" si="1050"/>
        <v>141</v>
      </c>
      <c r="BN70" s="8">
        <v>0</v>
      </c>
      <c r="BO70" s="6">
        <f t="shared" si="1020"/>
        <v>0</v>
      </c>
      <c r="BP70" s="8">
        <v>0</v>
      </c>
      <c r="BQ70" s="6">
        <f t="shared" si="1020"/>
        <v>0</v>
      </c>
      <c r="BR70" s="6">
        <v>0</v>
      </c>
      <c r="BS70" s="6">
        <f t="shared" si="1051"/>
        <v>0</v>
      </c>
      <c r="BT70" s="8">
        <v>0</v>
      </c>
      <c r="BU70" s="6">
        <f t="shared" si="1052"/>
        <v>100</v>
      </c>
      <c r="BV70" s="6">
        <f t="shared" si="898"/>
        <v>100</v>
      </c>
      <c r="BW70" s="18">
        <f t="shared" si="899"/>
        <v>0</v>
      </c>
      <c r="BX70" s="6">
        <f t="shared" si="1053"/>
        <v>80.940231182795699</v>
      </c>
      <c r="BY70" s="6">
        <f t="shared" si="1054"/>
        <v>744</v>
      </c>
      <c r="BZ70" s="43">
        <v>15054.883</v>
      </c>
      <c r="CA70" s="8">
        <v>25</v>
      </c>
      <c r="CD70" s="8" t="s">
        <v>75</v>
      </c>
      <c r="CE70" s="6">
        <f t="shared" si="1055"/>
        <v>506.64</v>
      </c>
      <c r="CF70" s="6">
        <v>428.48</v>
      </c>
      <c r="CG70" s="6">
        <v>78.159999999999968</v>
      </c>
      <c r="CH70" s="8">
        <v>213.36</v>
      </c>
      <c r="CI70" s="6">
        <f t="shared" si="1103"/>
        <v>29.633333333333333</v>
      </c>
      <c r="CJ70" s="8">
        <v>0</v>
      </c>
      <c r="CK70" s="6">
        <f>(CJ70/$CD$4)*100</f>
        <v>0</v>
      </c>
      <c r="CL70" s="6">
        <v>0</v>
      </c>
      <c r="CM70" s="6">
        <f t="shared" si="1056"/>
        <v>0</v>
      </c>
      <c r="CN70" s="8">
        <v>0</v>
      </c>
      <c r="CO70" s="6">
        <f t="shared" si="1057"/>
        <v>70.36666666666666</v>
      </c>
      <c r="CP70" s="6">
        <f t="shared" si="1023"/>
        <v>70.36666666666666</v>
      </c>
      <c r="CQ70" s="18">
        <f t="shared" si="1104"/>
        <v>33.241929452823129</v>
      </c>
      <c r="CR70" s="6">
        <f t="shared" si="1059"/>
        <v>62.015500000000003</v>
      </c>
      <c r="CS70" s="6">
        <f t="shared" si="1060"/>
        <v>720</v>
      </c>
      <c r="CT70" s="43">
        <v>11162.79</v>
      </c>
      <c r="CU70" s="8">
        <v>25</v>
      </c>
      <c r="CV70" s="6"/>
      <c r="CX70" s="8" t="s">
        <v>75</v>
      </c>
      <c r="CY70" s="6">
        <f t="shared" si="1061"/>
        <v>677.17</v>
      </c>
      <c r="CZ70" s="8">
        <v>533.91</v>
      </c>
      <c r="DA70" s="8">
        <v>143.26</v>
      </c>
      <c r="DB70" s="8">
        <v>0</v>
      </c>
      <c r="DC70" s="6">
        <f t="shared" si="416"/>
        <v>0</v>
      </c>
      <c r="DD70" s="8">
        <v>0</v>
      </c>
      <c r="DE70" s="6">
        <f t="shared" si="417"/>
        <v>0</v>
      </c>
      <c r="DF70" s="91">
        <v>66.83</v>
      </c>
      <c r="DG70" s="6">
        <f t="shared" ref="DG70:DG78" si="1107">(DF70/$CX$4)*100</f>
        <v>8.98252688172043</v>
      </c>
      <c r="DH70" s="8">
        <v>0</v>
      </c>
      <c r="DI70" s="6">
        <f t="shared" si="1063"/>
        <v>91.017473118279568</v>
      </c>
      <c r="DJ70" s="6">
        <f t="shared" si="464"/>
        <v>91.017473118279568</v>
      </c>
      <c r="DK70" s="18">
        <f t="shared" si="465"/>
        <v>0</v>
      </c>
      <c r="DL70" s="6">
        <f t="shared" si="1064"/>
        <v>71.924591397849454</v>
      </c>
      <c r="DM70" s="6">
        <f t="shared" si="1065"/>
        <v>744</v>
      </c>
      <c r="DN70" s="43">
        <v>13377.974</v>
      </c>
      <c r="DO70" s="8">
        <v>25</v>
      </c>
      <c r="DR70" s="8" t="s">
        <v>75</v>
      </c>
      <c r="DS70" s="6">
        <f t="shared" si="1066"/>
        <v>693.3</v>
      </c>
      <c r="DT70" s="8">
        <v>440.26</v>
      </c>
      <c r="DU70" s="8">
        <v>253.04</v>
      </c>
      <c r="DV70" s="8">
        <v>23.7</v>
      </c>
      <c r="DW70" s="6">
        <f t="shared" si="420"/>
        <v>3.1854838709677415</v>
      </c>
      <c r="DX70" s="8">
        <v>27</v>
      </c>
      <c r="DY70" s="6">
        <f t="shared" si="421"/>
        <v>3.6290322580645165</v>
      </c>
      <c r="DZ70" s="6">
        <v>0</v>
      </c>
      <c r="EA70" s="6">
        <f t="shared" ref="EA70:EA78" si="1108">(DZ70/$DR$4)*100</f>
        <v>0</v>
      </c>
      <c r="EB70" s="8">
        <v>0</v>
      </c>
      <c r="EC70" s="6">
        <f t="shared" si="1068"/>
        <v>93.18548387096773</v>
      </c>
      <c r="ED70" s="6">
        <f t="shared" si="467"/>
        <v>93.18548387096773</v>
      </c>
      <c r="EE70" s="18">
        <f t="shared" si="468"/>
        <v>5.1081989826709204</v>
      </c>
      <c r="EF70" s="6">
        <f t="shared" si="1069"/>
        <v>66.669870967741929</v>
      </c>
      <c r="EG70" s="6">
        <f t="shared" si="1070"/>
        <v>744</v>
      </c>
      <c r="EH70" s="85">
        <v>12400.596</v>
      </c>
      <c r="EI70" s="8">
        <v>25</v>
      </c>
      <c r="EL70" s="8" t="s">
        <v>75</v>
      </c>
      <c r="EM70" s="6">
        <f>$EL$4-EP70-ER70-ET70</f>
        <v>672</v>
      </c>
      <c r="EN70" s="8">
        <v>242.1</v>
      </c>
      <c r="EO70" s="8">
        <v>429.9</v>
      </c>
      <c r="EP70" s="8">
        <v>0</v>
      </c>
      <c r="EQ70" s="6">
        <f t="shared" si="424"/>
        <v>0</v>
      </c>
      <c r="ER70" s="8">
        <v>0</v>
      </c>
      <c r="ES70" s="6">
        <f t="shared" si="425"/>
        <v>0</v>
      </c>
      <c r="ET70" s="6">
        <v>0</v>
      </c>
      <c r="EU70" s="6">
        <f t="shared" ref="EU70:EU78" si="1109">(ET70/$EL$4)*100</f>
        <v>0</v>
      </c>
      <c r="EV70" s="8">
        <v>0</v>
      </c>
      <c r="EW70" s="6">
        <f t="shared" si="1073"/>
        <v>90.322580645161281</v>
      </c>
      <c r="EX70" s="6">
        <f t="shared" si="469"/>
        <v>100</v>
      </c>
      <c r="EY70" s="18">
        <f t="shared" si="470"/>
        <v>0</v>
      </c>
      <c r="EZ70" s="6">
        <f t="shared" si="1074"/>
        <v>35.409892857142857</v>
      </c>
      <c r="FA70" s="6">
        <f t="shared" si="1075"/>
        <v>672</v>
      </c>
      <c r="FB70" s="43">
        <v>5948.8620000000001</v>
      </c>
      <c r="FC70" s="8">
        <v>25</v>
      </c>
      <c r="FF70" s="8" t="s">
        <v>75</v>
      </c>
      <c r="FG70" s="6">
        <f t="shared" si="1076"/>
        <v>735.45</v>
      </c>
      <c r="FH70" s="8">
        <v>547.04</v>
      </c>
      <c r="FI70" s="8">
        <v>188.41</v>
      </c>
      <c r="FJ70" s="8">
        <v>8.5500000000000007</v>
      </c>
      <c r="FK70" s="6">
        <f t="shared" si="439"/>
        <v>1.149193548387097</v>
      </c>
      <c r="FL70" s="8">
        <v>0</v>
      </c>
      <c r="FM70" s="6">
        <f t="shared" si="440"/>
        <v>0</v>
      </c>
      <c r="FN70" s="6">
        <v>0</v>
      </c>
      <c r="FO70" s="6">
        <f t="shared" si="1077"/>
        <v>0</v>
      </c>
      <c r="FP70" s="8">
        <v>0</v>
      </c>
      <c r="FQ70" s="6">
        <f t="shared" si="1078"/>
        <v>98.850806451612911</v>
      </c>
      <c r="FR70" s="6">
        <f t="shared" si="473"/>
        <v>98.850806451612911</v>
      </c>
      <c r="FS70" s="18">
        <f t="shared" si="474"/>
        <v>1.5389045879155496</v>
      </c>
      <c r="FT70" s="6">
        <f t="shared" si="1079"/>
        <v>73.438413978494623</v>
      </c>
      <c r="FU70" s="6">
        <f t="shared" si="1080"/>
        <v>743.99999999999989</v>
      </c>
      <c r="FV70" s="43">
        <v>13659.545</v>
      </c>
      <c r="FW70" s="8">
        <v>25</v>
      </c>
      <c r="FZ70" s="8" t="s">
        <v>75</v>
      </c>
      <c r="GA70" s="6">
        <f>$FZ$4-GD70-GF70-GH70</f>
        <v>720</v>
      </c>
      <c r="GB70" s="8">
        <v>589.34</v>
      </c>
      <c r="GC70" s="8">
        <v>130.66</v>
      </c>
      <c r="GD70" s="8">
        <v>0</v>
      </c>
      <c r="GE70" s="6">
        <f t="shared" si="1082"/>
        <v>0</v>
      </c>
      <c r="GF70" s="8">
        <v>0</v>
      </c>
      <c r="GG70" s="6">
        <f>(GF70/$FZ$4)*100</f>
        <v>0</v>
      </c>
      <c r="GH70" s="6">
        <v>0</v>
      </c>
      <c r="GI70" s="6">
        <f t="shared" si="1083"/>
        <v>0</v>
      </c>
      <c r="GJ70" s="8">
        <v>0</v>
      </c>
      <c r="GK70" s="6">
        <f t="shared" si="1084"/>
        <v>96.774193548387103</v>
      </c>
      <c r="GL70" s="6">
        <f>((GA70-GJ70)/$FZ$4)*100</f>
        <v>100</v>
      </c>
      <c r="GM70" s="18">
        <f>IF((AND(GB70=0,GD70=0)),0,(GD70+GJ70)/(GB70+GD70)*100)</f>
        <v>0</v>
      </c>
      <c r="GN70" s="6">
        <f t="shared" si="1086"/>
        <v>86.596722222222226</v>
      </c>
      <c r="GO70" s="6">
        <f t="shared" si="1087"/>
        <v>720</v>
      </c>
      <c r="GP70" s="85">
        <v>15587.41</v>
      </c>
      <c r="GQ70" s="8">
        <v>25</v>
      </c>
      <c r="GT70" s="8" t="s">
        <v>75</v>
      </c>
      <c r="GU70" s="8">
        <f t="shared" si="1088"/>
        <v>744</v>
      </c>
      <c r="GV70" s="8">
        <v>541.35</v>
      </c>
      <c r="GW70" s="52">
        <v>202.65000000000089</v>
      </c>
      <c r="GX70" s="8">
        <v>0</v>
      </c>
      <c r="GY70" s="8">
        <f t="shared" si="559"/>
        <v>0</v>
      </c>
      <c r="GZ70" s="8">
        <v>0</v>
      </c>
      <c r="HA70" s="8">
        <f t="shared" si="560"/>
        <v>0</v>
      </c>
      <c r="HB70" s="8">
        <v>0</v>
      </c>
      <c r="HC70" s="6">
        <f t="shared" si="1089"/>
        <v>0</v>
      </c>
      <c r="HD70" s="8">
        <v>0</v>
      </c>
      <c r="HE70" s="6">
        <f t="shared" si="1090"/>
        <v>100</v>
      </c>
      <c r="HF70" s="6">
        <f t="shared" si="1091"/>
        <v>100</v>
      </c>
      <c r="HG70" s="8">
        <f t="shared" si="397"/>
        <v>0</v>
      </c>
      <c r="HH70" s="6">
        <f t="shared" si="1092"/>
        <v>76.489569892473114</v>
      </c>
      <c r="HI70" s="6">
        <f t="shared" si="1093"/>
        <v>744.00000000000091</v>
      </c>
      <c r="HJ70" s="85">
        <v>14227.06</v>
      </c>
      <c r="HK70" s="8">
        <v>25</v>
      </c>
      <c r="HN70" s="8" t="s">
        <v>75</v>
      </c>
      <c r="HO70" s="49">
        <f t="shared" si="1094"/>
        <v>720</v>
      </c>
      <c r="HP70" s="49">
        <v>579.07000000000005</v>
      </c>
      <c r="HQ70" s="8">
        <v>140.92999999999995</v>
      </c>
      <c r="HR70" s="49">
        <v>0</v>
      </c>
      <c r="HS70" s="8">
        <f t="shared" si="1095"/>
        <v>0</v>
      </c>
      <c r="HT70" s="8">
        <v>0</v>
      </c>
      <c r="HU70" s="8">
        <f t="shared" si="1096"/>
        <v>0</v>
      </c>
      <c r="HV70" s="8">
        <v>0</v>
      </c>
      <c r="HW70" s="8">
        <f t="shared" si="1096"/>
        <v>0</v>
      </c>
      <c r="HX70" s="8">
        <v>0</v>
      </c>
      <c r="HY70" s="6">
        <f t="shared" si="1097"/>
        <v>100</v>
      </c>
      <c r="HZ70" s="6">
        <f t="shared" si="1098"/>
        <v>100</v>
      </c>
      <c r="IA70" s="18">
        <f t="shared" si="1099"/>
        <v>0</v>
      </c>
      <c r="IB70" s="6">
        <f t="shared" si="1100"/>
        <v>83.570711111111109</v>
      </c>
      <c r="IC70" s="6">
        <f t="shared" si="1101"/>
        <v>720</v>
      </c>
      <c r="ID70" s="92">
        <v>15042.727999999999</v>
      </c>
      <c r="IE70" s="8">
        <v>25</v>
      </c>
      <c r="IF70" s="15">
        <v>25</v>
      </c>
    </row>
    <row r="71" spans="1:240" ht="14.25" x14ac:dyDescent="0.2">
      <c r="B71" s="8" t="s">
        <v>76</v>
      </c>
      <c r="C71" s="8">
        <f t="shared" si="1026"/>
        <v>744</v>
      </c>
      <c r="D71" s="8">
        <v>601</v>
      </c>
      <c r="E71" s="8">
        <v>143</v>
      </c>
      <c r="F71" s="8">
        <v>0</v>
      </c>
      <c r="G71" s="8">
        <f t="shared" si="339"/>
        <v>0</v>
      </c>
      <c r="H71" s="8">
        <v>0</v>
      </c>
      <c r="I71" s="8">
        <f t="shared" si="340"/>
        <v>0</v>
      </c>
      <c r="J71" s="8">
        <v>0</v>
      </c>
      <c r="K71" s="6">
        <f>(J71/$B$4)*100</f>
        <v>0</v>
      </c>
      <c r="L71" s="8">
        <v>0</v>
      </c>
      <c r="M71" s="6">
        <f>(C71/$B$4)*100</f>
        <v>100</v>
      </c>
      <c r="N71" s="8">
        <f t="shared" si="525"/>
        <v>100</v>
      </c>
      <c r="O71" s="8">
        <f t="shared" si="1029"/>
        <v>0</v>
      </c>
      <c r="P71" s="6">
        <f t="shared" si="1030"/>
        <v>87.832483870967749</v>
      </c>
      <c r="Q71" s="6">
        <f t="shared" si="1031"/>
        <v>744</v>
      </c>
      <c r="R71" s="85">
        <v>16336.842000000001</v>
      </c>
      <c r="S71" s="8">
        <v>25</v>
      </c>
      <c r="V71" s="8" t="s">
        <v>76</v>
      </c>
      <c r="W71" s="8">
        <f>$V$4-Z71-AB71-AD71</f>
        <v>744</v>
      </c>
      <c r="X71" s="8">
        <v>621</v>
      </c>
      <c r="Y71" s="8">
        <v>123</v>
      </c>
      <c r="Z71" s="8">
        <v>0</v>
      </c>
      <c r="AA71" s="8">
        <f t="shared" si="1033"/>
        <v>0</v>
      </c>
      <c r="AB71" s="8">
        <v>0</v>
      </c>
      <c r="AC71" s="8">
        <f t="shared" si="1033"/>
        <v>0</v>
      </c>
      <c r="AD71" s="8">
        <v>0</v>
      </c>
      <c r="AE71" s="8">
        <f t="shared" si="1033"/>
        <v>0</v>
      </c>
      <c r="AF71" s="8">
        <v>0</v>
      </c>
      <c r="AG71" s="6">
        <f t="shared" si="1034"/>
        <v>100</v>
      </c>
      <c r="AH71" s="8">
        <f t="shared" si="1035"/>
        <v>100</v>
      </c>
      <c r="AI71" s="8">
        <f t="shared" si="1036"/>
        <v>0</v>
      </c>
      <c r="AJ71" s="6">
        <f t="shared" si="1037"/>
        <v>81.676650537634416</v>
      </c>
      <c r="AK71" s="6">
        <f t="shared" si="1038"/>
        <v>744</v>
      </c>
      <c r="AL71" s="85">
        <v>15191.857</v>
      </c>
      <c r="AM71" s="8">
        <v>25</v>
      </c>
      <c r="AP71" s="8" t="s">
        <v>76</v>
      </c>
      <c r="AQ71" s="8">
        <f t="shared" si="1039"/>
        <v>720</v>
      </c>
      <c r="AR71" s="8">
        <v>653</v>
      </c>
      <c r="AS71" s="17">
        <f t="shared" si="1040"/>
        <v>67</v>
      </c>
      <c r="AT71" s="8">
        <v>0</v>
      </c>
      <c r="AU71" s="8">
        <f t="shared" si="1041"/>
        <v>0</v>
      </c>
      <c r="AV71" s="8">
        <v>0</v>
      </c>
      <c r="AW71" s="8">
        <f t="shared" si="1042"/>
        <v>0</v>
      </c>
      <c r="AX71" s="8">
        <v>0</v>
      </c>
      <c r="AY71" s="8">
        <f t="shared" si="1043"/>
        <v>0</v>
      </c>
      <c r="AZ71" s="8">
        <v>0</v>
      </c>
      <c r="BA71" s="6">
        <f t="shared" si="1044"/>
        <v>100</v>
      </c>
      <c r="BB71" s="8">
        <f t="shared" si="1045"/>
        <v>100</v>
      </c>
      <c r="BC71" s="8">
        <f t="shared" si="1046"/>
        <v>0</v>
      </c>
      <c r="BD71" s="6">
        <f t="shared" si="1106"/>
        <v>89.354161111111111</v>
      </c>
      <c r="BE71" s="6">
        <f t="shared" si="1048"/>
        <v>720</v>
      </c>
      <c r="BF71" s="93">
        <v>16083.749</v>
      </c>
      <c r="BG71" s="8">
        <v>25</v>
      </c>
      <c r="BJ71" s="8" t="s">
        <v>76</v>
      </c>
      <c r="BK71" s="6">
        <f t="shared" si="1049"/>
        <v>744</v>
      </c>
      <c r="BL71" s="8">
        <v>508</v>
      </c>
      <c r="BM71" s="17">
        <f t="shared" si="1050"/>
        <v>236</v>
      </c>
      <c r="BN71" s="8">
        <v>0</v>
      </c>
      <c r="BO71" s="6">
        <f t="shared" si="1020"/>
        <v>0</v>
      </c>
      <c r="BP71" s="8">
        <v>0</v>
      </c>
      <c r="BQ71" s="6">
        <f t="shared" si="1020"/>
        <v>0</v>
      </c>
      <c r="BR71" s="6">
        <v>0</v>
      </c>
      <c r="BS71" s="6">
        <f>(BR71/$BJ$4)*100</f>
        <v>0</v>
      </c>
      <c r="BT71" s="8">
        <v>0</v>
      </c>
      <c r="BU71" s="6">
        <f t="shared" si="1052"/>
        <v>100</v>
      </c>
      <c r="BV71" s="6">
        <f t="shared" si="898"/>
        <v>100</v>
      </c>
      <c r="BW71" s="18">
        <f t="shared" si="899"/>
        <v>0</v>
      </c>
      <c r="BX71" s="6">
        <f>(BZ71/($BJ$4*CA71))*100</f>
        <v>67.355080645161294</v>
      </c>
      <c r="BY71" s="6">
        <f t="shared" si="1054"/>
        <v>744</v>
      </c>
      <c r="BZ71" s="43">
        <v>12528.045</v>
      </c>
      <c r="CA71" s="8">
        <v>25</v>
      </c>
      <c r="CD71" s="8" t="s">
        <v>76</v>
      </c>
      <c r="CE71" s="6">
        <f t="shared" si="1055"/>
        <v>695.49</v>
      </c>
      <c r="CF71" s="6">
        <v>510.86</v>
      </c>
      <c r="CG71" s="6">
        <v>184.63</v>
      </c>
      <c r="CH71" s="8">
        <v>24.51</v>
      </c>
      <c r="CI71" s="6">
        <f t="shared" si="1103"/>
        <v>3.4041666666666672</v>
      </c>
      <c r="CJ71" s="8">
        <v>0</v>
      </c>
      <c r="CK71" s="6">
        <f t="shared" ref="CK71:CK78" si="1110">(CJ71/$CD$4)*100</f>
        <v>0</v>
      </c>
      <c r="CL71" s="6">
        <v>0</v>
      </c>
      <c r="CM71" s="6">
        <f t="shared" si="1056"/>
        <v>0</v>
      </c>
      <c r="CN71" s="8">
        <v>0</v>
      </c>
      <c r="CO71" s="6">
        <f t="shared" si="1057"/>
        <v>96.595833333333331</v>
      </c>
      <c r="CP71" s="6">
        <f t="shared" si="1023"/>
        <v>96.595833333333331</v>
      </c>
      <c r="CQ71" s="18">
        <f t="shared" si="1104"/>
        <v>4.5781422193996679</v>
      </c>
      <c r="CR71" s="6">
        <f t="shared" si="1059"/>
        <v>76.044049999999999</v>
      </c>
      <c r="CS71" s="6">
        <f t="shared" si="1060"/>
        <v>720</v>
      </c>
      <c r="CT71" s="43">
        <v>13687.929</v>
      </c>
      <c r="CU71" s="8">
        <v>25</v>
      </c>
      <c r="CV71" s="6"/>
      <c r="CX71" s="8" t="s">
        <v>76</v>
      </c>
      <c r="CY71" s="6">
        <f t="shared" si="1061"/>
        <v>696.22</v>
      </c>
      <c r="CZ71" s="8">
        <v>546.44000000000005</v>
      </c>
      <c r="DA71" s="8">
        <v>149.77999999999997</v>
      </c>
      <c r="DB71" s="8">
        <v>0</v>
      </c>
      <c r="DC71" s="6">
        <f t="shared" si="416"/>
        <v>0</v>
      </c>
      <c r="DD71" s="8">
        <v>0</v>
      </c>
      <c r="DE71" s="6">
        <f t="shared" si="417"/>
        <v>0</v>
      </c>
      <c r="DF71" s="91">
        <v>47.78</v>
      </c>
      <c r="DG71" s="6">
        <f t="shared" si="1107"/>
        <v>6.4220430107526889</v>
      </c>
      <c r="DH71" s="8">
        <v>0</v>
      </c>
      <c r="DI71" s="6">
        <f t="shared" si="1063"/>
        <v>93.577956989247312</v>
      </c>
      <c r="DJ71" s="6">
        <f t="shared" si="464"/>
        <v>93.577956989247312</v>
      </c>
      <c r="DK71" s="18">
        <f t="shared" si="465"/>
        <v>0</v>
      </c>
      <c r="DL71" s="6">
        <f>(DN71/($CX$4*DO71))*100</f>
        <v>76.023043010752687</v>
      </c>
      <c r="DM71" s="6">
        <f t="shared" si="1065"/>
        <v>744</v>
      </c>
      <c r="DN71" s="43">
        <v>14140.286</v>
      </c>
      <c r="DO71" s="8">
        <v>25</v>
      </c>
      <c r="DR71" s="8" t="s">
        <v>76</v>
      </c>
      <c r="DS71" s="6">
        <f t="shared" si="1066"/>
        <v>693.76</v>
      </c>
      <c r="DT71" s="8">
        <v>433</v>
      </c>
      <c r="DU71" s="8">
        <v>260.76</v>
      </c>
      <c r="DV71" s="8">
        <v>23.7</v>
      </c>
      <c r="DW71" s="6">
        <f t="shared" si="420"/>
        <v>3.1854838709677415</v>
      </c>
      <c r="DX71" s="8">
        <v>26.54</v>
      </c>
      <c r="DY71" s="6">
        <f t="shared" si="421"/>
        <v>3.5672043010752685</v>
      </c>
      <c r="DZ71" s="6">
        <v>0</v>
      </c>
      <c r="EA71" s="6">
        <f t="shared" si="1108"/>
        <v>0</v>
      </c>
      <c r="EB71" s="8">
        <v>0</v>
      </c>
      <c r="EC71" s="6">
        <f t="shared" si="1068"/>
        <v>93.247311827956992</v>
      </c>
      <c r="ED71" s="6">
        <f t="shared" si="467"/>
        <v>93.247311827956992</v>
      </c>
      <c r="EE71" s="18">
        <f t="shared" si="468"/>
        <v>5.1894022334136194</v>
      </c>
      <c r="EF71" s="6">
        <f>(EH71/($DR$4*EI71))*100</f>
        <v>58.584322580645157</v>
      </c>
      <c r="EG71" s="6">
        <f t="shared" si="1070"/>
        <v>744</v>
      </c>
      <c r="EH71" s="85">
        <v>10896.683999999999</v>
      </c>
      <c r="EI71" s="8">
        <v>25</v>
      </c>
      <c r="EL71" s="8" t="s">
        <v>76</v>
      </c>
      <c r="EM71" s="6">
        <f t="shared" si="1071"/>
        <v>669.47</v>
      </c>
      <c r="EN71" s="8">
        <v>408.03</v>
      </c>
      <c r="EO71" s="8">
        <v>261.44</v>
      </c>
      <c r="EP71" s="8">
        <v>2.5299999999999998</v>
      </c>
      <c r="EQ71" s="6">
        <f t="shared" si="424"/>
        <v>0.37648809523809523</v>
      </c>
      <c r="ER71" s="8">
        <v>0</v>
      </c>
      <c r="ES71" s="6">
        <f t="shared" si="425"/>
        <v>0</v>
      </c>
      <c r="ET71" s="6">
        <v>0</v>
      </c>
      <c r="EU71" s="6">
        <f t="shared" si="1109"/>
        <v>0</v>
      </c>
      <c r="EV71" s="8">
        <v>0</v>
      </c>
      <c r="EW71" s="6">
        <f t="shared" si="1073"/>
        <v>89.982526881720432</v>
      </c>
      <c r="EX71" s="6">
        <f t="shared" si="469"/>
        <v>99.623511904761912</v>
      </c>
      <c r="EY71" s="18">
        <f t="shared" si="470"/>
        <v>0.61623148869836331</v>
      </c>
      <c r="EZ71" s="6">
        <f>(FB71/($EL$4*FC71))*100</f>
        <v>59.856255952380955</v>
      </c>
      <c r="FA71" s="6">
        <f t="shared" si="1075"/>
        <v>672</v>
      </c>
      <c r="FB71" s="43">
        <v>10055.851000000001</v>
      </c>
      <c r="FC71" s="8">
        <v>25</v>
      </c>
      <c r="FF71" s="8" t="s">
        <v>76</v>
      </c>
      <c r="FG71" s="6">
        <f t="shared" si="1076"/>
        <v>738.2</v>
      </c>
      <c r="FH71" s="8">
        <v>628.83000000000004</v>
      </c>
      <c r="FI71" s="8">
        <v>109.37</v>
      </c>
      <c r="FJ71" s="8">
        <v>5.8</v>
      </c>
      <c r="FK71" s="6">
        <f t="shared" si="439"/>
        <v>0.77956989247311825</v>
      </c>
      <c r="FL71" s="8">
        <v>0</v>
      </c>
      <c r="FM71" s="6">
        <f t="shared" si="440"/>
        <v>0</v>
      </c>
      <c r="FN71" s="6">
        <v>0</v>
      </c>
      <c r="FO71" s="6">
        <f>(FN71/$FF$4)*100</f>
        <v>0</v>
      </c>
      <c r="FP71" s="8">
        <v>0</v>
      </c>
      <c r="FQ71" s="6">
        <f t="shared" si="1078"/>
        <v>99.220430107526894</v>
      </c>
      <c r="FR71" s="6">
        <f t="shared" si="473"/>
        <v>99.220430107526894</v>
      </c>
      <c r="FS71" s="18">
        <f t="shared" si="474"/>
        <v>0.91391834612293776</v>
      </c>
      <c r="FT71" s="6">
        <f>(FV71/($FF$4*FW71))*100</f>
        <v>78.18102150537635</v>
      </c>
      <c r="FU71" s="6">
        <f t="shared" si="1080"/>
        <v>744</v>
      </c>
      <c r="FV71" s="43">
        <v>14541.67</v>
      </c>
      <c r="FW71" s="8">
        <v>25</v>
      </c>
      <c r="FZ71" s="8" t="s">
        <v>76</v>
      </c>
      <c r="GA71" s="6">
        <f t="shared" si="1081"/>
        <v>718.93</v>
      </c>
      <c r="GB71" s="8">
        <v>637.53</v>
      </c>
      <c r="GC71" s="8">
        <v>81.400000000000006</v>
      </c>
      <c r="GD71" s="8">
        <v>1.07</v>
      </c>
      <c r="GE71" s="6">
        <f t="shared" si="1082"/>
        <v>1.4861111111111112E-3</v>
      </c>
      <c r="GF71" s="8">
        <v>0</v>
      </c>
      <c r="GG71" s="6">
        <f t="shared" ref="GG71:GG78" si="1111">(GF71/$FZ$4)*100</f>
        <v>0</v>
      </c>
      <c r="GH71" s="6">
        <v>0</v>
      </c>
      <c r="GI71" s="6">
        <f>(GH71/$FZ$4)*100</f>
        <v>0</v>
      </c>
      <c r="GJ71" s="8">
        <v>0</v>
      </c>
      <c r="GK71" s="6">
        <f t="shared" si="1084"/>
        <v>96.630376344086017</v>
      </c>
      <c r="GL71" s="6">
        <f t="shared" ref="GL71:GL78" si="1112">((GA71-GJ71)/$FZ$4)*100</f>
        <v>99.851388888888877</v>
      </c>
      <c r="GM71" s="18">
        <f t="shared" ref="GM71:GM74" si="1113">IF((AND(GB71=0,GD71=0)),0,(GD71+GJ71)/(GB71+GD71)*100)</f>
        <v>0.16755402442843723</v>
      </c>
      <c r="GN71" s="6">
        <f t="shared" si="1086"/>
        <v>82.483388888888882</v>
      </c>
      <c r="GO71" s="6">
        <f t="shared" si="1087"/>
        <v>720</v>
      </c>
      <c r="GP71" s="85">
        <v>14847.01</v>
      </c>
      <c r="GQ71" s="8">
        <v>25</v>
      </c>
      <c r="GT71" s="8" t="s">
        <v>76</v>
      </c>
      <c r="GU71" s="8">
        <f t="shared" si="1088"/>
        <v>744</v>
      </c>
      <c r="GV71" s="8">
        <v>554.30999999999995</v>
      </c>
      <c r="GW71" s="52">
        <v>189.69000000000335</v>
      </c>
      <c r="GX71" s="8">
        <v>0</v>
      </c>
      <c r="GY71" s="8">
        <f t="shared" si="559"/>
        <v>0</v>
      </c>
      <c r="GZ71" s="8">
        <v>0</v>
      </c>
      <c r="HA71" s="8">
        <f t="shared" si="560"/>
        <v>0</v>
      </c>
      <c r="HB71" s="8">
        <v>0</v>
      </c>
      <c r="HC71" s="6">
        <f>(HB71/$GT$4)*100</f>
        <v>0</v>
      </c>
      <c r="HD71" s="8">
        <v>0</v>
      </c>
      <c r="HE71" s="6">
        <f t="shared" si="1090"/>
        <v>100</v>
      </c>
      <c r="HF71" s="6">
        <f t="shared" si="1091"/>
        <v>100</v>
      </c>
      <c r="HG71" s="8">
        <f t="shared" si="397"/>
        <v>0</v>
      </c>
      <c r="HH71" s="6">
        <f>(HJ71/($GT$4*HK71))*100</f>
        <v>74.637419354838713</v>
      </c>
      <c r="HI71" s="6">
        <f t="shared" si="1093"/>
        <v>744.0000000000033</v>
      </c>
      <c r="HJ71" s="85">
        <v>13882.56</v>
      </c>
      <c r="HK71" s="8">
        <v>25</v>
      </c>
      <c r="HN71" s="8" t="s">
        <v>76</v>
      </c>
      <c r="HO71" s="49">
        <f t="shared" si="1094"/>
        <v>720</v>
      </c>
      <c r="HP71" s="49">
        <v>548.87</v>
      </c>
      <c r="HQ71" s="8">
        <v>171.13</v>
      </c>
      <c r="HR71" s="49">
        <v>0</v>
      </c>
      <c r="HS71" s="8">
        <f t="shared" si="1095"/>
        <v>0</v>
      </c>
      <c r="HT71" s="8">
        <v>0</v>
      </c>
      <c r="HU71" s="8">
        <f t="shared" si="1096"/>
        <v>0</v>
      </c>
      <c r="HV71" s="8">
        <v>0</v>
      </c>
      <c r="HW71" s="8">
        <f t="shared" si="1096"/>
        <v>0</v>
      </c>
      <c r="HX71" s="8">
        <v>0</v>
      </c>
      <c r="HY71" s="6">
        <f>(HO71/$HN$4)*100</f>
        <v>100</v>
      </c>
      <c r="HZ71" s="6">
        <f t="shared" si="1098"/>
        <v>100</v>
      </c>
      <c r="IA71" s="18">
        <f t="shared" si="1099"/>
        <v>0</v>
      </c>
      <c r="IB71" s="6">
        <f>(ID71/($HN$4*IE71))*100</f>
        <v>76.666150000000002</v>
      </c>
      <c r="IC71" s="6">
        <f t="shared" si="1101"/>
        <v>720</v>
      </c>
      <c r="ID71" s="92">
        <v>13799.906999999999</v>
      </c>
      <c r="IE71" s="8">
        <v>25</v>
      </c>
      <c r="IF71" s="15">
        <v>25</v>
      </c>
    </row>
    <row r="72" spans="1:240" ht="14.25" x14ac:dyDescent="0.2">
      <c r="B72" s="8" t="s">
        <v>77</v>
      </c>
      <c r="C72" s="8">
        <f t="shared" si="1026"/>
        <v>744</v>
      </c>
      <c r="D72" s="8">
        <v>571</v>
      </c>
      <c r="E72" s="8">
        <v>173</v>
      </c>
      <c r="F72" s="8">
        <v>0</v>
      </c>
      <c r="G72" s="8">
        <f t="shared" si="339"/>
        <v>0</v>
      </c>
      <c r="H72" s="8">
        <v>0</v>
      </c>
      <c r="I72" s="8">
        <f t="shared" si="340"/>
        <v>0</v>
      </c>
      <c r="J72" s="8">
        <v>0</v>
      </c>
      <c r="K72" s="6">
        <f t="shared" si="1027"/>
        <v>0</v>
      </c>
      <c r="L72" s="8">
        <v>0</v>
      </c>
      <c r="M72" s="6">
        <f t="shared" ref="M72" si="1114">(C72/$B$4)*100</f>
        <v>100</v>
      </c>
      <c r="N72" s="8">
        <f t="shared" si="525"/>
        <v>100</v>
      </c>
      <c r="O72" s="8">
        <f t="shared" si="1029"/>
        <v>0</v>
      </c>
      <c r="P72" s="6">
        <f t="shared" si="1030"/>
        <v>76.110446236559142</v>
      </c>
      <c r="Q72" s="6">
        <f t="shared" si="1031"/>
        <v>744</v>
      </c>
      <c r="R72" s="85">
        <v>14156.543</v>
      </c>
      <c r="S72" s="8">
        <v>25</v>
      </c>
      <c r="V72" s="8" t="s">
        <v>77</v>
      </c>
      <c r="W72" s="8">
        <f t="shared" si="1032"/>
        <v>744</v>
      </c>
      <c r="X72" s="8">
        <v>515</v>
      </c>
      <c r="Y72" s="8">
        <v>229</v>
      </c>
      <c r="Z72" s="8">
        <v>0</v>
      </c>
      <c r="AA72" s="8">
        <f t="shared" si="1033"/>
        <v>0</v>
      </c>
      <c r="AB72" s="8">
        <v>0</v>
      </c>
      <c r="AC72" s="8">
        <f t="shared" si="1033"/>
        <v>0</v>
      </c>
      <c r="AD72" s="8">
        <v>0</v>
      </c>
      <c r="AE72" s="8">
        <f t="shared" si="1033"/>
        <v>0</v>
      </c>
      <c r="AF72" s="8">
        <v>0</v>
      </c>
      <c r="AG72" s="6">
        <f t="shared" si="1034"/>
        <v>100</v>
      </c>
      <c r="AH72" s="8">
        <f t="shared" si="1035"/>
        <v>100</v>
      </c>
      <c r="AI72" s="8">
        <f t="shared" si="1036"/>
        <v>0</v>
      </c>
      <c r="AJ72" s="6">
        <f t="shared" si="1037"/>
        <v>66.748091397849464</v>
      </c>
      <c r="AK72" s="6">
        <f t="shared" si="1038"/>
        <v>744</v>
      </c>
      <c r="AL72" s="85">
        <v>12415.145</v>
      </c>
      <c r="AM72" s="8">
        <v>25</v>
      </c>
      <c r="AP72" s="8" t="s">
        <v>77</v>
      </c>
      <c r="AQ72" s="8">
        <f t="shared" si="1039"/>
        <v>720</v>
      </c>
      <c r="AR72" s="8">
        <v>394</v>
      </c>
      <c r="AS72" s="17">
        <f t="shared" si="1040"/>
        <v>326</v>
      </c>
      <c r="AT72" s="8">
        <v>0</v>
      </c>
      <c r="AU72" s="8">
        <f t="shared" si="1041"/>
        <v>0</v>
      </c>
      <c r="AV72" s="8">
        <v>0</v>
      </c>
      <c r="AW72" s="8">
        <f t="shared" si="1042"/>
        <v>0</v>
      </c>
      <c r="AX72" s="8">
        <v>0</v>
      </c>
      <c r="AY72" s="8">
        <f t="shared" si="1043"/>
        <v>0</v>
      </c>
      <c r="AZ72" s="8">
        <v>0</v>
      </c>
      <c r="BA72" s="6">
        <f t="shared" si="1044"/>
        <v>100</v>
      </c>
      <c r="BB72" s="8">
        <f t="shared" si="1045"/>
        <v>100</v>
      </c>
      <c r="BC72" s="8">
        <f t="shared" si="1046"/>
        <v>0</v>
      </c>
      <c r="BD72" s="6">
        <f t="shared" si="1106"/>
        <v>53.362661111111109</v>
      </c>
      <c r="BE72" s="6">
        <f t="shared" si="1048"/>
        <v>720</v>
      </c>
      <c r="BF72" s="93">
        <v>9605.2790000000005</v>
      </c>
      <c r="BG72" s="8">
        <v>25</v>
      </c>
      <c r="BJ72" s="8" t="s">
        <v>77</v>
      </c>
      <c r="BK72" s="6">
        <f t="shared" si="1049"/>
        <v>744</v>
      </c>
      <c r="BL72" s="8">
        <v>502</v>
      </c>
      <c r="BM72" s="17">
        <f t="shared" si="1050"/>
        <v>242</v>
      </c>
      <c r="BN72" s="8">
        <v>0</v>
      </c>
      <c r="BO72" s="6">
        <f t="shared" si="1020"/>
        <v>0</v>
      </c>
      <c r="BP72" s="8">
        <v>0</v>
      </c>
      <c r="BQ72" s="6">
        <f t="shared" si="1020"/>
        <v>0</v>
      </c>
      <c r="BR72" s="6">
        <v>0</v>
      </c>
      <c r="BS72" s="6">
        <f t="shared" si="1051"/>
        <v>0</v>
      </c>
      <c r="BT72" s="8">
        <v>0</v>
      </c>
      <c r="BU72" s="6">
        <f t="shared" si="1052"/>
        <v>100</v>
      </c>
      <c r="BV72" s="6">
        <f t="shared" si="898"/>
        <v>100</v>
      </c>
      <c r="BW72" s="18">
        <f t="shared" si="899"/>
        <v>0</v>
      </c>
      <c r="BX72" s="6">
        <f t="shared" si="1053"/>
        <v>64.244822580645163</v>
      </c>
      <c r="BY72" s="6">
        <f t="shared" si="1054"/>
        <v>744</v>
      </c>
      <c r="BZ72" s="43">
        <v>11949.537</v>
      </c>
      <c r="CA72" s="8">
        <v>25</v>
      </c>
      <c r="CD72" s="8" t="s">
        <v>77</v>
      </c>
      <c r="CE72" s="6">
        <f t="shared" si="1055"/>
        <v>614.37</v>
      </c>
      <c r="CF72" s="6">
        <v>406.9</v>
      </c>
      <c r="CG72" s="6">
        <v>207.47000000000003</v>
      </c>
      <c r="CH72" s="8">
        <v>42.93</v>
      </c>
      <c r="CI72" s="6">
        <f t="shared" si="1103"/>
        <v>5.9624999999999995</v>
      </c>
      <c r="CJ72" s="8">
        <v>0</v>
      </c>
      <c r="CK72" s="6">
        <f t="shared" si="1110"/>
        <v>0</v>
      </c>
      <c r="CL72" s="6">
        <v>62.7</v>
      </c>
      <c r="CM72" s="6">
        <f t="shared" si="1056"/>
        <v>8.7083333333333339</v>
      </c>
      <c r="CN72" s="8">
        <v>0</v>
      </c>
      <c r="CO72" s="6">
        <f t="shared" si="1057"/>
        <v>85.329166666666666</v>
      </c>
      <c r="CP72" s="6">
        <f t="shared" si="1023"/>
        <v>85.329166666666666</v>
      </c>
      <c r="CQ72" s="18">
        <f t="shared" si="1104"/>
        <v>9.5436053620256551</v>
      </c>
      <c r="CR72" s="6">
        <f t="shared" si="1059"/>
        <v>57.782033333333324</v>
      </c>
      <c r="CS72" s="6">
        <f t="shared" si="1060"/>
        <v>720</v>
      </c>
      <c r="CT72" s="43">
        <v>10400.766</v>
      </c>
      <c r="CU72" s="8">
        <v>25</v>
      </c>
      <c r="CV72" s="6"/>
      <c r="CX72" s="8" t="s">
        <v>77</v>
      </c>
      <c r="CY72" s="6">
        <f t="shared" si="1061"/>
        <v>733.55</v>
      </c>
      <c r="CZ72" s="8">
        <v>583.20000000000005</v>
      </c>
      <c r="DA72" s="8">
        <v>150.34999999999991</v>
      </c>
      <c r="DB72" s="8">
        <v>10.45</v>
      </c>
      <c r="DC72" s="6">
        <f t="shared" si="416"/>
        <v>1.404569892473118</v>
      </c>
      <c r="DD72" s="8">
        <v>0</v>
      </c>
      <c r="DE72" s="6">
        <f t="shared" si="417"/>
        <v>0</v>
      </c>
      <c r="DF72" s="91">
        <v>0</v>
      </c>
      <c r="DG72" s="6">
        <f t="shared" si="1107"/>
        <v>0</v>
      </c>
      <c r="DH72" s="8">
        <v>0</v>
      </c>
      <c r="DI72" s="6">
        <f t="shared" si="1063"/>
        <v>98.595430107526866</v>
      </c>
      <c r="DJ72" s="6">
        <f t="shared" si="464"/>
        <v>98.595430107526866</v>
      </c>
      <c r="DK72" s="18">
        <f t="shared" si="465"/>
        <v>1.7602964709845865</v>
      </c>
      <c r="DL72" s="6">
        <f t="shared" si="1064"/>
        <v>81.057091397849462</v>
      </c>
      <c r="DM72" s="6">
        <f t="shared" si="1065"/>
        <v>744</v>
      </c>
      <c r="DN72" s="43">
        <v>15076.619000000001</v>
      </c>
      <c r="DO72" s="8">
        <v>25</v>
      </c>
      <c r="DR72" s="8" t="s">
        <v>77</v>
      </c>
      <c r="DS72" s="6">
        <f t="shared" si="1066"/>
        <v>692.99</v>
      </c>
      <c r="DT72" s="8">
        <v>432.93</v>
      </c>
      <c r="DU72" s="8">
        <v>260.06</v>
      </c>
      <c r="DV72" s="8">
        <v>23.7</v>
      </c>
      <c r="DW72" s="6">
        <f t="shared" si="420"/>
        <v>3.1854838709677415</v>
      </c>
      <c r="DX72" s="8">
        <v>27.31</v>
      </c>
      <c r="DY72" s="6">
        <f t="shared" si="421"/>
        <v>3.6706989247311825</v>
      </c>
      <c r="DZ72" s="6">
        <v>0</v>
      </c>
      <c r="EA72" s="6">
        <f t="shared" si="1108"/>
        <v>0</v>
      </c>
      <c r="EB72" s="8">
        <v>0</v>
      </c>
      <c r="EC72" s="6">
        <f t="shared" si="1068"/>
        <v>93.143817204301072</v>
      </c>
      <c r="ED72" s="6">
        <f t="shared" si="467"/>
        <v>93.143817204301072</v>
      </c>
      <c r="EE72" s="18">
        <f t="shared" si="468"/>
        <v>5.1901977531042638</v>
      </c>
      <c r="EF72" s="6">
        <f t="shared" si="1069"/>
        <v>63.821919354838705</v>
      </c>
      <c r="EG72" s="6">
        <f t="shared" si="1070"/>
        <v>744</v>
      </c>
      <c r="EH72" s="85">
        <v>11870.877</v>
      </c>
      <c r="EI72" s="8">
        <v>25</v>
      </c>
      <c r="EL72" s="8" t="s">
        <v>77</v>
      </c>
      <c r="EM72" s="6">
        <f t="shared" si="1071"/>
        <v>600.29999999999995</v>
      </c>
      <c r="EN72" s="8">
        <v>303.29000000000002</v>
      </c>
      <c r="EO72" s="8">
        <v>297.01</v>
      </c>
      <c r="EP72" s="8">
        <v>71.7</v>
      </c>
      <c r="EQ72" s="6">
        <f t="shared" si="424"/>
        <v>10.669642857142858</v>
      </c>
      <c r="ER72" s="8">
        <v>0</v>
      </c>
      <c r="ES72" s="6">
        <f t="shared" si="425"/>
        <v>0</v>
      </c>
      <c r="ET72" s="6">
        <v>0</v>
      </c>
      <c r="EU72" s="6">
        <f t="shared" si="1109"/>
        <v>0</v>
      </c>
      <c r="EV72" s="8">
        <v>0</v>
      </c>
      <c r="EW72" s="6">
        <f t="shared" si="1073"/>
        <v>80.68548387096773</v>
      </c>
      <c r="EX72" s="6">
        <f t="shared" si="469"/>
        <v>89.330357142857125</v>
      </c>
      <c r="EY72" s="18">
        <f t="shared" si="470"/>
        <v>19.120509880263473</v>
      </c>
      <c r="EZ72" s="6">
        <f t="shared" si="1074"/>
        <v>45.282261904761903</v>
      </c>
      <c r="FA72" s="6">
        <f t="shared" si="1075"/>
        <v>672</v>
      </c>
      <c r="FB72" s="43">
        <v>7607.42</v>
      </c>
      <c r="FC72" s="8">
        <v>25</v>
      </c>
      <c r="FF72" s="8" t="s">
        <v>77</v>
      </c>
      <c r="FG72" s="6">
        <f t="shared" si="1076"/>
        <v>716.01</v>
      </c>
      <c r="FH72" s="8">
        <v>593.75</v>
      </c>
      <c r="FI72" s="8">
        <v>122.26</v>
      </c>
      <c r="FJ72" s="8">
        <v>27.99</v>
      </c>
      <c r="FK72" s="6">
        <f t="shared" si="439"/>
        <v>3.7620967741935485</v>
      </c>
      <c r="FL72" s="8">
        <v>0</v>
      </c>
      <c r="FM72" s="6">
        <f t="shared" si="440"/>
        <v>0</v>
      </c>
      <c r="FN72" s="6">
        <v>0</v>
      </c>
      <c r="FO72" s="6">
        <f t="shared" si="1077"/>
        <v>0</v>
      </c>
      <c r="FP72" s="8">
        <v>0</v>
      </c>
      <c r="FQ72" s="6">
        <f t="shared" si="1078"/>
        <v>96.237903225806448</v>
      </c>
      <c r="FR72" s="6">
        <f t="shared" si="473"/>
        <v>96.237903225806448</v>
      </c>
      <c r="FS72" s="18">
        <f t="shared" si="474"/>
        <v>4.5018818155499085</v>
      </c>
      <c r="FT72" s="6">
        <f t="shared" si="1079"/>
        <v>75.076973118279568</v>
      </c>
      <c r="FU72" s="6">
        <f t="shared" si="1080"/>
        <v>744</v>
      </c>
      <c r="FV72" s="43">
        <v>13964.316999999999</v>
      </c>
      <c r="FW72" s="8">
        <v>25</v>
      </c>
      <c r="FZ72" s="8" t="s">
        <v>77</v>
      </c>
      <c r="GA72" s="6">
        <f t="shared" si="1081"/>
        <v>701.55</v>
      </c>
      <c r="GB72" s="8">
        <v>520.89</v>
      </c>
      <c r="GC72" s="8">
        <v>180.66</v>
      </c>
      <c r="GD72" s="8">
        <v>18.45</v>
      </c>
      <c r="GE72" s="6">
        <f t="shared" si="1082"/>
        <v>2.5624999999999998E-2</v>
      </c>
      <c r="GF72" s="8">
        <v>0</v>
      </c>
      <c r="GG72" s="6">
        <f t="shared" si="1111"/>
        <v>0</v>
      </c>
      <c r="GH72" s="6">
        <v>0</v>
      </c>
      <c r="GI72" s="6">
        <f t="shared" si="1083"/>
        <v>0</v>
      </c>
      <c r="GJ72" s="8">
        <v>0</v>
      </c>
      <c r="GK72" s="6">
        <f t="shared" si="1084"/>
        <v>94.294354838709666</v>
      </c>
      <c r="GL72" s="6">
        <f t="shared" si="1112"/>
        <v>97.4375</v>
      </c>
      <c r="GM72" s="18">
        <f t="shared" si="1113"/>
        <v>3.4208477027478028</v>
      </c>
      <c r="GN72" s="6">
        <f t="shared" si="1086"/>
        <v>74.200500000000005</v>
      </c>
      <c r="GO72" s="6">
        <f t="shared" si="1087"/>
        <v>720</v>
      </c>
      <c r="GP72" s="85">
        <v>13356.09</v>
      </c>
      <c r="GQ72" s="8">
        <v>25</v>
      </c>
      <c r="GT72" s="8" t="s">
        <v>77</v>
      </c>
      <c r="GU72" s="8">
        <f t="shared" si="1088"/>
        <v>744</v>
      </c>
      <c r="GV72" s="8">
        <v>505.06</v>
      </c>
      <c r="GW72" s="52">
        <v>238.94000000000034</v>
      </c>
      <c r="GX72" s="8">
        <v>0</v>
      </c>
      <c r="GY72" s="8">
        <f t="shared" si="559"/>
        <v>0</v>
      </c>
      <c r="GZ72" s="8">
        <v>0</v>
      </c>
      <c r="HA72" s="8">
        <f t="shared" si="560"/>
        <v>0</v>
      </c>
      <c r="HB72" s="8">
        <v>0</v>
      </c>
      <c r="HC72" s="6">
        <f t="shared" si="1089"/>
        <v>0</v>
      </c>
      <c r="HD72" s="8">
        <v>0</v>
      </c>
      <c r="HE72" s="6">
        <f t="shared" si="1090"/>
        <v>100</v>
      </c>
      <c r="HF72" s="6">
        <f t="shared" si="1091"/>
        <v>100</v>
      </c>
      <c r="HG72" s="8">
        <f t="shared" si="397"/>
        <v>0</v>
      </c>
      <c r="HH72" s="6">
        <f t="shared" si="1092"/>
        <v>68.854946236559144</v>
      </c>
      <c r="HI72" s="6">
        <f t="shared" si="1093"/>
        <v>744.00000000000034</v>
      </c>
      <c r="HJ72" s="85">
        <v>12807.02</v>
      </c>
      <c r="HK72" s="8">
        <v>25</v>
      </c>
      <c r="HN72" s="8" t="s">
        <v>77</v>
      </c>
      <c r="HO72" s="49">
        <f t="shared" si="1094"/>
        <v>720</v>
      </c>
      <c r="HP72" s="49">
        <v>533.9</v>
      </c>
      <c r="HQ72" s="8">
        <v>186.10000000000002</v>
      </c>
      <c r="HR72" s="49">
        <v>0</v>
      </c>
      <c r="HS72" s="8">
        <f t="shared" si="1095"/>
        <v>0</v>
      </c>
      <c r="HT72" s="8">
        <v>0</v>
      </c>
      <c r="HU72" s="8">
        <f t="shared" si="1096"/>
        <v>0</v>
      </c>
      <c r="HV72" s="8">
        <v>0</v>
      </c>
      <c r="HW72" s="8">
        <f t="shared" si="1096"/>
        <v>0</v>
      </c>
      <c r="HX72" s="8">
        <v>0</v>
      </c>
      <c r="HY72" s="6">
        <f t="shared" ref="HY72:HY74" si="1115">(HO72/$HN$4)*100</f>
        <v>100</v>
      </c>
      <c r="HZ72" s="6">
        <f t="shared" si="1098"/>
        <v>100</v>
      </c>
      <c r="IA72" s="18">
        <f t="shared" si="1099"/>
        <v>0</v>
      </c>
      <c r="IB72" s="6">
        <f t="shared" ref="IB72:IB74" si="1116">(ID72/($HN$4*IE72))*100</f>
        <v>74.007316666666668</v>
      </c>
      <c r="IC72" s="6">
        <f t="shared" si="1101"/>
        <v>720</v>
      </c>
      <c r="ID72" s="92">
        <v>13321.316999999999</v>
      </c>
      <c r="IE72" s="8">
        <v>25</v>
      </c>
      <c r="IF72" s="15">
        <v>25</v>
      </c>
    </row>
    <row r="73" spans="1:240" ht="14.25" x14ac:dyDescent="0.2">
      <c r="B73" s="8" t="s">
        <v>78</v>
      </c>
      <c r="C73" s="8">
        <f t="shared" si="1026"/>
        <v>744</v>
      </c>
      <c r="D73" s="8">
        <v>585</v>
      </c>
      <c r="E73" s="8">
        <v>159</v>
      </c>
      <c r="F73" s="8">
        <v>0</v>
      </c>
      <c r="G73" s="8">
        <f t="shared" si="339"/>
        <v>0</v>
      </c>
      <c r="H73" s="8">
        <v>0</v>
      </c>
      <c r="I73" s="8">
        <f t="shared" si="340"/>
        <v>0</v>
      </c>
      <c r="J73" s="8">
        <v>0</v>
      </c>
      <c r="K73" s="6">
        <f t="shared" si="1027"/>
        <v>0</v>
      </c>
      <c r="L73" s="8">
        <v>0</v>
      </c>
      <c r="M73" s="6">
        <f>(C73/$B$4)*100</f>
        <v>100</v>
      </c>
      <c r="N73" s="8">
        <f t="shared" si="525"/>
        <v>100</v>
      </c>
      <c r="O73" s="8">
        <f t="shared" si="1029"/>
        <v>0</v>
      </c>
      <c r="P73" s="6">
        <f t="shared" si="1030"/>
        <v>77.079473118279566</v>
      </c>
      <c r="Q73" s="6">
        <f t="shared" si="1031"/>
        <v>744</v>
      </c>
      <c r="R73" s="85">
        <v>14336.781999999999</v>
      </c>
      <c r="S73" s="8">
        <v>25</v>
      </c>
      <c r="V73" s="8" t="s">
        <v>78</v>
      </c>
      <c r="W73" s="8">
        <f t="shared" si="1032"/>
        <v>744</v>
      </c>
      <c r="X73" s="8">
        <v>608</v>
      </c>
      <c r="Y73" s="8">
        <v>136</v>
      </c>
      <c r="Z73" s="8">
        <v>0</v>
      </c>
      <c r="AA73" s="8">
        <f t="shared" si="1033"/>
        <v>0</v>
      </c>
      <c r="AB73" s="8">
        <v>0</v>
      </c>
      <c r="AC73" s="8">
        <f t="shared" si="1033"/>
        <v>0</v>
      </c>
      <c r="AD73" s="8">
        <v>0</v>
      </c>
      <c r="AE73" s="8">
        <f t="shared" si="1033"/>
        <v>0</v>
      </c>
      <c r="AF73" s="8">
        <v>0</v>
      </c>
      <c r="AG73" s="6">
        <f t="shared" si="1034"/>
        <v>100</v>
      </c>
      <c r="AH73" s="8">
        <f t="shared" si="1035"/>
        <v>100</v>
      </c>
      <c r="AI73" s="8">
        <f t="shared" si="1036"/>
        <v>0</v>
      </c>
      <c r="AJ73" s="6">
        <f t="shared" si="1037"/>
        <v>79.606833333333327</v>
      </c>
      <c r="AK73" s="6">
        <f t="shared" si="1038"/>
        <v>744</v>
      </c>
      <c r="AL73" s="85">
        <v>14806.870999999999</v>
      </c>
      <c r="AM73" s="8">
        <v>25</v>
      </c>
      <c r="AP73" s="8" t="s">
        <v>78</v>
      </c>
      <c r="AQ73" s="8">
        <f t="shared" si="1039"/>
        <v>720</v>
      </c>
      <c r="AR73" s="8">
        <v>638</v>
      </c>
      <c r="AS73" s="17">
        <f t="shared" si="1040"/>
        <v>82</v>
      </c>
      <c r="AT73" s="8">
        <v>0</v>
      </c>
      <c r="AU73" s="8">
        <f t="shared" si="1041"/>
        <v>0</v>
      </c>
      <c r="AV73" s="8">
        <v>0</v>
      </c>
      <c r="AW73" s="8">
        <f t="shared" si="1042"/>
        <v>0</v>
      </c>
      <c r="AX73" s="8">
        <v>0</v>
      </c>
      <c r="AY73" s="8">
        <f t="shared" si="1043"/>
        <v>0</v>
      </c>
      <c r="AZ73" s="8">
        <v>0</v>
      </c>
      <c r="BA73" s="6">
        <f t="shared" si="1044"/>
        <v>100</v>
      </c>
      <c r="BB73" s="8">
        <f t="shared" si="1045"/>
        <v>100</v>
      </c>
      <c r="BC73" s="8">
        <f t="shared" si="1046"/>
        <v>0</v>
      </c>
      <c r="BD73" s="6">
        <f>(BF73/($AP$4*BG73))*100</f>
        <v>85.896594444444446</v>
      </c>
      <c r="BE73" s="6">
        <f t="shared" si="1048"/>
        <v>720</v>
      </c>
      <c r="BF73" s="93">
        <v>15461.387000000001</v>
      </c>
      <c r="BG73" s="8">
        <v>25</v>
      </c>
      <c r="BJ73" s="8" t="s">
        <v>78</v>
      </c>
      <c r="BK73" s="6">
        <f t="shared" si="1049"/>
        <v>744</v>
      </c>
      <c r="BL73" s="8">
        <v>542</v>
      </c>
      <c r="BM73" s="17">
        <f t="shared" si="1050"/>
        <v>202</v>
      </c>
      <c r="BN73" s="8">
        <v>0</v>
      </c>
      <c r="BO73" s="6">
        <f t="shared" si="1020"/>
        <v>0</v>
      </c>
      <c r="BP73" s="8">
        <v>0</v>
      </c>
      <c r="BQ73" s="6">
        <f t="shared" si="1020"/>
        <v>0</v>
      </c>
      <c r="BR73" s="6">
        <v>0</v>
      </c>
      <c r="BS73" s="6">
        <f t="shared" si="1051"/>
        <v>0</v>
      </c>
      <c r="BT73" s="8">
        <v>0</v>
      </c>
      <c r="BU73" s="6">
        <f t="shared" si="1052"/>
        <v>100</v>
      </c>
      <c r="BV73" s="6">
        <f t="shared" si="898"/>
        <v>100</v>
      </c>
      <c r="BW73" s="18">
        <f t="shared" si="899"/>
        <v>0</v>
      </c>
      <c r="BX73" s="6">
        <f t="shared" si="1053"/>
        <v>70.415155913978495</v>
      </c>
      <c r="BY73" s="6">
        <f t="shared" si="1054"/>
        <v>744</v>
      </c>
      <c r="BZ73" s="43">
        <v>13097.218999999999</v>
      </c>
      <c r="CA73" s="8">
        <v>25</v>
      </c>
      <c r="CD73" s="8" t="s">
        <v>78</v>
      </c>
      <c r="CE73" s="6">
        <f t="shared" si="1055"/>
        <v>661.61</v>
      </c>
      <c r="CF73" s="6">
        <v>467.93</v>
      </c>
      <c r="CG73" s="6">
        <v>193.67999999999995</v>
      </c>
      <c r="CH73" s="8">
        <v>58.39</v>
      </c>
      <c r="CI73" s="6">
        <f t="shared" si="1103"/>
        <v>8.1097222222222225</v>
      </c>
      <c r="CJ73" s="8">
        <v>0</v>
      </c>
      <c r="CK73" s="6">
        <f t="shared" si="1110"/>
        <v>0</v>
      </c>
      <c r="CL73" s="6">
        <v>0</v>
      </c>
      <c r="CM73" s="6">
        <f t="shared" si="1056"/>
        <v>0</v>
      </c>
      <c r="CN73" s="8">
        <v>0</v>
      </c>
      <c r="CO73" s="6">
        <f t="shared" si="1057"/>
        <v>91.890277777777783</v>
      </c>
      <c r="CP73" s="6">
        <f t="shared" si="1023"/>
        <v>91.890277777777783</v>
      </c>
      <c r="CQ73" s="18">
        <f t="shared" si="1104"/>
        <v>11.094011247910016</v>
      </c>
      <c r="CR73" s="6">
        <f t="shared" si="1059"/>
        <v>64.683722222222215</v>
      </c>
      <c r="CS73" s="6">
        <f t="shared" si="1060"/>
        <v>719.99999999999989</v>
      </c>
      <c r="CT73" s="43">
        <v>11643.07</v>
      </c>
      <c r="CU73" s="8">
        <v>25</v>
      </c>
      <c r="CV73" s="6"/>
      <c r="CX73" s="8" t="s">
        <v>78</v>
      </c>
      <c r="CY73" s="6">
        <f t="shared" si="1061"/>
        <v>720.35</v>
      </c>
      <c r="CZ73" s="8">
        <v>587.98</v>
      </c>
      <c r="DA73" s="8">
        <v>132.37</v>
      </c>
      <c r="DB73" s="8">
        <v>0</v>
      </c>
      <c r="DC73" s="6">
        <f t="shared" si="416"/>
        <v>0</v>
      </c>
      <c r="DD73" s="8">
        <v>0</v>
      </c>
      <c r="DE73" s="6">
        <f t="shared" si="417"/>
        <v>0</v>
      </c>
      <c r="DF73" s="91">
        <v>23.65</v>
      </c>
      <c r="DG73" s="6">
        <f t="shared" si="1107"/>
        <v>3.1787634408602146</v>
      </c>
      <c r="DH73" s="8">
        <v>0</v>
      </c>
      <c r="DI73" s="6">
        <f t="shared" si="1063"/>
        <v>96.821236559139791</v>
      </c>
      <c r="DJ73" s="6">
        <f t="shared" si="464"/>
        <v>96.821236559139791</v>
      </c>
      <c r="DK73" s="18">
        <f t="shared" si="465"/>
        <v>0</v>
      </c>
      <c r="DL73" s="6">
        <f t="shared" si="1064"/>
        <v>79.228838709677419</v>
      </c>
      <c r="DM73" s="6">
        <f t="shared" si="1065"/>
        <v>744</v>
      </c>
      <c r="DN73" s="43">
        <v>14736.564</v>
      </c>
      <c r="DO73" s="8">
        <v>25</v>
      </c>
      <c r="DR73" s="8" t="s">
        <v>78</v>
      </c>
      <c r="DS73" s="6">
        <f t="shared" si="1066"/>
        <v>144.29999999999995</v>
      </c>
      <c r="DT73" s="8">
        <v>94.79</v>
      </c>
      <c r="DU73" s="8">
        <v>49.51</v>
      </c>
      <c r="DV73" s="8">
        <v>575.70000000000005</v>
      </c>
      <c r="DW73" s="6">
        <f t="shared" si="420"/>
        <v>77.379032258064512</v>
      </c>
      <c r="DX73" s="8">
        <v>24</v>
      </c>
      <c r="DY73" s="6">
        <f t="shared" si="421"/>
        <v>3.225806451612903</v>
      </c>
      <c r="DZ73" s="6">
        <v>0</v>
      </c>
      <c r="EA73" s="6">
        <f t="shared" si="1108"/>
        <v>0</v>
      </c>
      <c r="EB73" s="8">
        <v>0</v>
      </c>
      <c r="EC73" s="6">
        <f t="shared" si="1068"/>
        <v>19.395161290322573</v>
      </c>
      <c r="ED73" s="6">
        <f t="shared" si="467"/>
        <v>19.395161290322573</v>
      </c>
      <c r="EE73" s="18">
        <f t="shared" si="468"/>
        <v>85.862578114513283</v>
      </c>
      <c r="EF73" s="6">
        <f t="shared" si="1069"/>
        <v>13.150661290322581</v>
      </c>
      <c r="EG73" s="6">
        <f t="shared" si="1070"/>
        <v>744</v>
      </c>
      <c r="EH73" s="85">
        <v>2446.0230000000001</v>
      </c>
      <c r="EI73" s="8">
        <v>25</v>
      </c>
      <c r="EL73" s="8" t="s">
        <v>78</v>
      </c>
      <c r="EM73" s="6">
        <f t="shared" si="1071"/>
        <v>0</v>
      </c>
      <c r="EN73" s="8">
        <v>0</v>
      </c>
      <c r="EO73" s="8">
        <v>0</v>
      </c>
      <c r="EP73" s="8">
        <v>672</v>
      </c>
      <c r="EQ73" s="6">
        <f t="shared" si="424"/>
        <v>100</v>
      </c>
      <c r="ER73" s="8">
        <v>0</v>
      </c>
      <c r="ES73" s="6">
        <f t="shared" si="425"/>
        <v>0</v>
      </c>
      <c r="ET73" s="6">
        <v>0</v>
      </c>
      <c r="EU73" s="6">
        <f t="shared" si="1109"/>
        <v>0</v>
      </c>
      <c r="EV73" s="8">
        <v>0</v>
      </c>
      <c r="EW73" s="6">
        <f t="shared" si="1073"/>
        <v>0</v>
      </c>
      <c r="EX73" s="6">
        <f t="shared" si="469"/>
        <v>0</v>
      </c>
      <c r="EY73" s="18">
        <f t="shared" si="470"/>
        <v>100</v>
      </c>
      <c r="EZ73" s="6">
        <f t="shared" si="1074"/>
        <v>0</v>
      </c>
      <c r="FA73" s="6">
        <f t="shared" si="1075"/>
        <v>672</v>
      </c>
      <c r="FB73" s="8">
        <v>0</v>
      </c>
      <c r="FC73" s="8">
        <v>25</v>
      </c>
      <c r="FF73" s="8" t="s">
        <v>78</v>
      </c>
      <c r="FG73" s="6">
        <f t="shared" si="1076"/>
        <v>0</v>
      </c>
      <c r="FH73" s="8">
        <v>0</v>
      </c>
      <c r="FI73" s="8">
        <v>0</v>
      </c>
      <c r="FJ73" s="8">
        <v>744</v>
      </c>
      <c r="FK73" s="6">
        <f t="shared" si="439"/>
        <v>100</v>
      </c>
      <c r="FL73" s="8">
        <v>0</v>
      </c>
      <c r="FM73" s="6">
        <f t="shared" si="440"/>
        <v>0</v>
      </c>
      <c r="FN73" s="6">
        <v>0</v>
      </c>
      <c r="FO73" s="6">
        <f t="shared" si="1077"/>
        <v>0</v>
      </c>
      <c r="FP73" s="8">
        <v>0</v>
      </c>
      <c r="FQ73" s="6">
        <f t="shared" si="1078"/>
        <v>0</v>
      </c>
      <c r="FR73" s="6">
        <f t="shared" si="473"/>
        <v>0</v>
      </c>
      <c r="FS73" s="18">
        <f t="shared" si="474"/>
        <v>100</v>
      </c>
      <c r="FT73" s="6">
        <f t="shared" si="1079"/>
        <v>0</v>
      </c>
      <c r="FU73" s="6">
        <f t="shared" si="1080"/>
        <v>744</v>
      </c>
      <c r="FV73" s="8">
        <v>0</v>
      </c>
      <c r="FW73" s="8">
        <v>25</v>
      </c>
      <c r="FZ73" s="8" t="s">
        <v>78</v>
      </c>
      <c r="GA73" s="6">
        <f>$FZ$4-GD73-GF73-GH73</f>
        <v>0</v>
      </c>
      <c r="GB73" s="8">
        <v>0</v>
      </c>
      <c r="GC73" s="8">
        <v>0</v>
      </c>
      <c r="GD73" s="8">
        <v>720</v>
      </c>
      <c r="GE73" s="6">
        <f t="shared" si="1082"/>
        <v>1</v>
      </c>
      <c r="GF73" s="8">
        <v>0</v>
      </c>
      <c r="GG73" s="6">
        <f t="shared" si="1111"/>
        <v>0</v>
      </c>
      <c r="GH73" s="6">
        <v>0</v>
      </c>
      <c r="GI73" s="6">
        <f t="shared" si="1083"/>
        <v>0</v>
      </c>
      <c r="GJ73" s="8">
        <v>0</v>
      </c>
      <c r="GK73" s="6">
        <f t="shared" si="1084"/>
        <v>0</v>
      </c>
      <c r="GL73" s="6">
        <f t="shared" si="1112"/>
        <v>0</v>
      </c>
      <c r="GM73" s="18">
        <f t="shared" si="1113"/>
        <v>100</v>
      </c>
      <c r="GN73" s="6">
        <f t="shared" si="1086"/>
        <v>0</v>
      </c>
      <c r="GO73" s="6">
        <f t="shared" si="1087"/>
        <v>720</v>
      </c>
      <c r="GP73" s="8">
        <v>0</v>
      </c>
      <c r="GQ73" s="8">
        <v>25</v>
      </c>
      <c r="GT73" s="8" t="s">
        <v>78</v>
      </c>
      <c r="GU73" s="8">
        <f t="shared" si="1088"/>
        <v>0</v>
      </c>
      <c r="GV73" s="8">
        <v>0</v>
      </c>
      <c r="GW73" s="52">
        <v>0</v>
      </c>
      <c r="GX73" s="8">
        <v>744</v>
      </c>
      <c r="GY73" s="8">
        <f t="shared" si="559"/>
        <v>100</v>
      </c>
      <c r="GZ73" s="8">
        <v>0</v>
      </c>
      <c r="HA73" s="8">
        <f t="shared" si="560"/>
        <v>0</v>
      </c>
      <c r="HB73" s="8">
        <v>0</v>
      </c>
      <c r="HC73" s="6">
        <f t="shared" si="1089"/>
        <v>0</v>
      </c>
      <c r="HD73" s="8">
        <v>0</v>
      </c>
      <c r="HE73" s="6">
        <f t="shared" si="1090"/>
        <v>0</v>
      </c>
      <c r="HF73" s="6">
        <f t="shared" si="1091"/>
        <v>0</v>
      </c>
      <c r="HG73" s="8">
        <f t="shared" si="397"/>
        <v>100</v>
      </c>
      <c r="HH73" s="6">
        <f t="shared" si="1092"/>
        <v>0</v>
      </c>
      <c r="HI73" s="6">
        <f t="shared" si="1093"/>
        <v>744</v>
      </c>
      <c r="HJ73" s="8">
        <v>0</v>
      </c>
      <c r="HK73" s="8">
        <v>25</v>
      </c>
      <c r="HN73" s="8" t="s">
        <v>78</v>
      </c>
      <c r="HO73" s="49">
        <f t="shared" si="1094"/>
        <v>0</v>
      </c>
      <c r="HP73" s="49">
        <v>0</v>
      </c>
      <c r="HQ73" s="8">
        <v>0</v>
      </c>
      <c r="HR73" s="49">
        <v>720</v>
      </c>
      <c r="HS73" s="8">
        <f t="shared" si="1095"/>
        <v>100</v>
      </c>
      <c r="HT73" s="8">
        <v>0</v>
      </c>
      <c r="HU73" s="8">
        <f t="shared" si="1096"/>
        <v>0</v>
      </c>
      <c r="HV73" s="8">
        <v>0</v>
      </c>
      <c r="HW73" s="8">
        <f t="shared" si="1096"/>
        <v>0</v>
      </c>
      <c r="HX73" s="8">
        <v>0</v>
      </c>
      <c r="HY73" s="6">
        <f t="shared" si="1115"/>
        <v>0</v>
      </c>
      <c r="HZ73" s="6">
        <f t="shared" si="1098"/>
        <v>0</v>
      </c>
      <c r="IA73" s="18">
        <f t="shared" si="1099"/>
        <v>100</v>
      </c>
      <c r="IB73" s="6">
        <f t="shared" si="1116"/>
        <v>0</v>
      </c>
      <c r="IC73" s="6">
        <f t="shared" si="1101"/>
        <v>720</v>
      </c>
      <c r="ID73" s="94">
        <v>0</v>
      </c>
      <c r="IE73" s="8">
        <v>25</v>
      </c>
      <c r="IF73" s="15">
        <v>0</v>
      </c>
    </row>
    <row r="74" spans="1:240" ht="14.25" x14ac:dyDescent="0.2">
      <c r="B74" s="8" t="s">
        <v>79</v>
      </c>
      <c r="C74" s="8">
        <f t="shared" si="1026"/>
        <v>744</v>
      </c>
      <c r="D74" s="8">
        <v>622</v>
      </c>
      <c r="E74" s="8">
        <v>122</v>
      </c>
      <c r="F74" s="8">
        <v>0</v>
      </c>
      <c r="G74" s="8">
        <f t="shared" si="339"/>
        <v>0</v>
      </c>
      <c r="H74" s="8">
        <v>0</v>
      </c>
      <c r="I74" s="8">
        <f t="shared" si="340"/>
        <v>0</v>
      </c>
      <c r="J74" s="8">
        <v>0</v>
      </c>
      <c r="K74" s="6">
        <f t="shared" si="1027"/>
        <v>0</v>
      </c>
      <c r="L74" s="8">
        <v>0</v>
      </c>
      <c r="M74" s="6">
        <f t="shared" ref="M74" si="1117">(C74/$B$4)*100</f>
        <v>100</v>
      </c>
      <c r="N74" s="8">
        <f t="shared" si="525"/>
        <v>100</v>
      </c>
      <c r="O74" s="8">
        <f t="shared" si="1029"/>
        <v>0</v>
      </c>
      <c r="P74" s="6">
        <f t="shared" si="1030"/>
        <v>80.358424731182794</v>
      </c>
      <c r="Q74" s="6">
        <f t="shared" si="1031"/>
        <v>744</v>
      </c>
      <c r="R74" s="85">
        <v>14946.666999999999</v>
      </c>
      <c r="S74" s="8">
        <v>25</v>
      </c>
      <c r="V74" s="8" t="s">
        <v>79</v>
      </c>
      <c r="W74" s="8">
        <f t="shared" si="1032"/>
        <v>744</v>
      </c>
      <c r="X74" s="8">
        <v>593</v>
      </c>
      <c r="Y74" s="8">
        <v>151</v>
      </c>
      <c r="Z74" s="8">
        <v>0</v>
      </c>
      <c r="AA74" s="8">
        <f t="shared" si="1033"/>
        <v>0</v>
      </c>
      <c r="AB74" s="8">
        <v>0</v>
      </c>
      <c r="AC74" s="8">
        <f t="shared" si="1033"/>
        <v>0</v>
      </c>
      <c r="AD74" s="8">
        <v>0</v>
      </c>
      <c r="AE74" s="8">
        <f t="shared" si="1033"/>
        <v>0</v>
      </c>
      <c r="AF74" s="8">
        <v>0</v>
      </c>
      <c r="AG74" s="6">
        <f t="shared" si="1034"/>
        <v>100</v>
      </c>
      <c r="AH74" s="8">
        <f t="shared" si="1035"/>
        <v>100</v>
      </c>
      <c r="AI74" s="8">
        <f t="shared" si="1036"/>
        <v>0</v>
      </c>
      <c r="AJ74" s="6">
        <f t="shared" si="1037"/>
        <v>75.809188172043008</v>
      </c>
      <c r="AK74" s="6">
        <f t="shared" si="1038"/>
        <v>744</v>
      </c>
      <c r="AL74" s="85">
        <v>14100.509</v>
      </c>
      <c r="AM74" s="8">
        <v>25</v>
      </c>
      <c r="AP74" s="8" t="s">
        <v>79</v>
      </c>
      <c r="AQ74" s="8">
        <f t="shared" si="1039"/>
        <v>720</v>
      </c>
      <c r="AR74" s="8">
        <v>688</v>
      </c>
      <c r="AS74" s="17">
        <f t="shared" si="1040"/>
        <v>32</v>
      </c>
      <c r="AT74" s="8">
        <v>0</v>
      </c>
      <c r="AU74" s="8">
        <f t="shared" si="1041"/>
        <v>0</v>
      </c>
      <c r="AV74" s="8">
        <v>0</v>
      </c>
      <c r="AW74" s="8">
        <f t="shared" si="1042"/>
        <v>0</v>
      </c>
      <c r="AX74" s="8">
        <v>0</v>
      </c>
      <c r="AY74" s="8">
        <f t="shared" si="1043"/>
        <v>0</v>
      </c>
      <c r="AZ74" s="8">
        <v>0</v>
      </c>
      <c r="BA74" s="6">
        <f t="shared" si="1044"/>
        <v>100</v>
      </c>
      <c r="BB74" s="8">
        <f t="shared" si="1045"/>
        <v>100</v>
      </c>
      <c r="BC74" s="8">
        <f t="shared" si="1046"/>
        <v>0</v>
      </c>
      <c r="BD74" s="6">
        <f t="shared" ref="BD74:BD78" si="1118">(BF74/($AP$4*BG74))*100</f>
        <v>92.060916666666671</v>
      </c>
      <c r="BE74" s="6">
        <f t="shared" si="1048"/>
        <v>720</v>
      </c>
      <c r="BF74" s="93">
        <v>16570.965</v>
      </c>
      <c r="BG74" s="8">
        <v>25</v>
      </c>
      <c r="BJ74" s="8" t="s">
        <v>79</v>
      </c>
      <c r="BK74" s="6">
        <f t="shared" si="1049"/>
        <v>744</v>
      </c>
      <c r="BL74" s="8">
        <v>551</v>
      </c>
      <c r="BM74" s="17">
        <f t="shared" si="1050"/>
        <v>193</v>
      </c>
      <c r="BN74" s="8">
        <v>0</v>
      </c>
      <c r="BO74" s="6">
        <f t="shared" si="1020"/>
        <v>0</v>
      </c>
      <c r="BP74" s="8">
        <v>0</v>
      </c>
      <c r="BQ74" s="6">
        <f t="shared" si="1020"/>
        <v>0</v>
      </c>
      <c r="BR74" s="6">
        <v>0</v>
      </c>
      <c r="BS74" s="6">
        <f t="shared" si="1051"/>
        <v>0</v>
      </c>
      <c r="BT74" s="8">
        <v>0</v>
      </c>
      <c r="BU74" s="6">
        <f t="shared" si="1052"/>
        <v>100</v>
      </c>
      <c r="BV74" s="6">
        <f t="shared" si="898"/>
        <v>100</v>
      </c>
      <c r="BW74" s="18">
        <f t="shared" si="899"/>
        <v>0</v>
      </c>
      <c r="BX74" s="6">
        <f t="shared" si="1053"/>
        <v>71.280177419354843</v>
      </c>
      <c r="BY74" s="6">
        <f t="shared" si="1054"/>
        <v>744</v>
      </c>
      <c r="BZ74" s="43">
        <v>13258.112999999999</v>
      </c>
      <c r="CA74" s="8">
        <v>25</v>
      </c>
      <c r="CD74" s="8" t="s">
        <v>79</v>
      </c>
      <c r="CE74" s="6">
        <f t="shared" si="1055"/>
        <v>713.38</v>
      </c>
      <c r="CF74" s="6">
        <v>547.1</v>
      </c>
      <c r="CG74" s="6">
        <v>166.27999999999997</v>
      </c>
      <c r="CH74" s="8">
        <v>6.62</v>
      </c>
      <c r="CI74" s="6">
        <f t="shared" si="1103"/>
        <v>0.9194444444444444</v>
      </c>
      <c r="CJ74" s="8">
        <v>0</v>
      </c>
      <c r="CK74" s="6">
        <f t="shared" si="1110"/>
        <v>0</v>
      </c>
      <c r="CL74" s="6">
        <v>0</v>
      </c>
      <c r="CM74" s="6">
        <f t="shared" si="1056"/>
        <v>0</v>
      </c>
      <c r="CN74" s="8">
        <v>0</v>
      </c>
      <c r="CO74" s="6">
        <f t="shared" si="1057"/>
        <v>99.080555555555549</v>
      </c>
      <c r="CP74" s="6">
        <f t="shared" si="1023"/>
        <v>99.080555555555549</v>
      </c>
      <c r="CQ74" s="18">
        <f t="shared" si="1104"/>
        <v>1.1955500975222133</v>
      </c>
      <c r="CR74" s="6">
        <f t="shared" si="1059"/>
        <v>81.754005555555551</v>
      </c>
      <c r="CS74" s="6">
        <f t="shared" si="1060"/>
        <v>720</v>
      </c>
      <c r="CT74" s="43">
        <v>14715.721</v>
      </c>
      <c r="CU74" s="8">
        <v>25</v>
      </c>
      <c r="CV74" s="6"/>
      <c r="CX74" s="8" t="s">
        <v>79</v>
      </c>
      <c r="CY74" s="6">
        <f t="shared" si="1061"/>
        <v>733.82</v>
      </c>
      <c r="CZ74" s="8">
        <v>626.4</v>
      </c>
      <c r="DA74" s="8">
        <v>107.42000000000007</v>
      </c>
      <c r="DB74" s="8">
        <v>10.18</v>
      </c>
      <c r="DC74" s="6">
        <f t="shared" si="416"/>
        <v>1.3682795698924732</v>
      </c>
      <c r="DD74" s="8">
        <v>0</v>
      </c>
      <c r="DE74" s="6">
        <f t="shared" si="417"/>
        <v>0</v>
      </c>
      <c r="DF74" s="91">
        <v>0</v>
      </c>
      <c r="DG74" s="6">
        <f t="shared" si="1107"/>
        <v>0</v>
      </c>
      <c r="DH74" s="8">
        <v>0</v>
      </c>
      <c r="DI74" s="6">
        <f t="shared" si="1063"/>
        <v>98.631720430107535</v>
      </c>
      <c r="DJ74" s="6">
        <f t="shared" si="464"/>
        <v>98.631720430107535</v>
      </c>
      <c r="DK74" s="18">
        <f t="shared" si="465"/>
        <v>1.5991705677212606</v>
      </c>
      <c r="DL74" s="6">
        <f t="shared" si="1064"/>
        <v>84.728688172043007</v>
      </c>
      <c r="DM74" s="6">
        <f t="shared" si="1065"/>
        <v>744</v>
      </c>
      <c r="DN74" s="43">
        <v>15759.536</v>
      </c>
      <c r="DO74" s="8">
        <v>25</v>
      </c>
      <c r="DR74" s="8" t="s">
        <v>79</v>
      </c>
      <c r="DS74" s="6">
        <f t="shared" si="1066"/>
        <v>623.36999999999989</v>
      </c>
      <c r="DT74" s="8">
        <v>422.61</v>
      </c>
      <c r="DU74" s="8">
        <v>200.76</v>
      </c>
      <c r="DV74" s="8">
        <v>23.7</v>
      </c>
      <c r="DW74" s="6">
        <f t="shared" si="420"/>
        <v>3.1854838709677415</v>
      </c>
      <c r="DX74" s="8">
        <v>96.93</v>
      </c>
      <c r="DY74" s="6">
        <f t="shared" si="421"/>
        <v>13.028225806451612</v>
      </c>
      <c r="DZ74" s="6">
        <v>0</v>
      </c>
      <c r="EA74" s="6">
        <f t="shared" si="1108"/>
        <v>0</v>
      </c>
      <c r="EB74" s="8">
        <v>0</v>
      </c>
      <c r="EC74" s="6">
        <f t="shared" si="1068"/>
        <v>83.786290322580626</v>
      </c>
      <c r="ED74" s="6">
        <f t="shared" si="467"/>
        <v>83.786290322580626</v>
      </c>
      <c r="EE74" s="18">
        <f t="shared" si="468"/>
        <v>5.3102103918800836</v>
      </c>
      <c r="EF74" s="6">
        <f t="shared" si="1069"/>
        <v>58.871327956989241</v>
      </c>
      <c r="EG74" s="6">
        <f t="shared" si="1070"/>
        <v>744</v>
      </c>
      <c r="EH74" s="85">
        <v>10950.066999999999</v>
      </c>
      <c r="EI74" s="8">
        <v>25</v>
      </c>
      <c r="EL74" s="8" t="s">
        <v>79</v>
      </c>
      <c r="EM74" s="6">
        <f>$EL$4-EP74-ER74-ET74</f>
        <v>666.37</v>
      </c>
      <c r="EN74" s="8">
        <v>416.52</v>
      </c>
      <c r="EO74" s="8">
        <v>249.85</v>
      </c>
      <c r="EP74" s="8">
        <v>5.63</v>
      </c>
      <c r="EQ74" s="6">
        <f t="shared" si="424"/>
        <v>0.83779761904761907</v>
      </c>
      <c r="ER74" s="8">
        <v>0</v>
      </c>
      <c r="ES74" s="6">
        <f t="shared" si="425"/>
        <v>0</v>
      </c>
      <c r="ET74" s="6">
        <v>0</v>
      </c>
      <c r="EU74" s="6">
        <f t="shared" si="1109"/>
        <v>0</v>
      </c>
      <c r="EV74" s="8">
        <v>0</v>
      </c>
      <c r="EW74" s="6">
        <f t="shared" si="1073"/>
        <v>89.56586021505376</v>
      </c>
      <c r="EX74" s="6">
        <f t="shared" si="469"/>
        <v>99.16220238095238</v>
      </c>
      <c r="EY74" s="18">
        <f t="shared" si="470"/>
        <v>1.3336491768328793</v>
      </c>
      <c r="EZ74" s="6">
        <f t="shared" si="1074"/>
        <v>62.667499999999997</v>
      </c>
      <c r="FA74" s="6">
        <f t="shared" si="1075"/>
        <v>672</v>
      </c>
      <c r="FB74" s="43">
        <v>10528.14</v>
      </c>
      <c r="FC74" s="8">
        <v>25</v>
      </c>
      <c r="FF74" s="8" t="s">
        <v>79</v>
      </c>
      <c r="FG74" s="6">
        <f t="shared" si="1076"/>
        <v>698.03</v>
      </c>
      <c r="FH74" s="8">
        <v>605.54999999999995</v>
      </c>
      <c r="FI74" s="8">
        <v>92.48</v>
      </c>
      <c r="FJ74" s="8">
        <v>45.97</v>
      </c>
      <c r="FK74" s="6">
        <f t="shared" si="439"/>
        <v>6.178763440860215</v>
      </c>
      <c r="FL74" s="8">
        <v>0</v>
      </c>
      <c r="FM74" s="6">
        <f t="shared" si="440"/>
        <v>0</v>
      </c>
      <c r="FN74" s="6">
        <v>0</v>
      </c>
      <c r="FO74" s="6">
        <f t="shared" si="1077"/>
        <v>0</v>
      </c>
      <c r="FP74" s="8">
        <v>0</v>
      </c>
      <c r="FQ74" s="6">
        <f t="shared" si="1078"/>
        <v>93.821236559139791</v>
      </c>
      <c r="FR74" s="6">
        <f t="shared" si="473"/>
        <v>93.821236559139791</v>
      </c>
      <c r="FS74" s="18">
        <f t="shared" si="474"/>
        <v>7.0558079567779961</v>
      </c>
      <c r="FT74" s="6">
        <f t="shared" si="1079"/>
        <v>76.784392473118274</v>
      </c>
      <c r="FU74" s="6">
        <f t="shared" si="1080"/>
        <v>744</v>
      </c>
      <c r="FV74" s="43">
        <v>14281.897000000001</v>
      </c>
      <c r="FW74" s="8">
        <v>25</v>
      </c>
      <c r="FZ74" s="8" t="s">
        <v>79</v>
      </c>
      <c r="GA74" s="6">
        <f t="shared" si="1081"/>
        <v>720</v>
      </c>
      <c r="GB74" s="8">
        <v>631.45000000000005</v>
      </c>
      <c r="GC74" s="8">
        <v>88.55</v>
      </c>
      <c r="GD74" s="8">
        <v>0</v>
      </c>
      <c r="GE74" s="6">
        <f t="shared" si="1082"/>
        <v>0</v>
      </c>
      <c r="GF74" s="8">
        <v>0</v>
      </c>
      <c r="GG74" s="6">
        <f t="shared" si="1111"/>
        <v>0</v>
      </c>
      <c r="GH74" s="6">
        <v>0</v>
      </c>
      <c r="GI74" s="6">
        <f t="shared" si="1083"/>
        <v>0</v>
      </c>
      <c r="GJ74" s="8">
        <v>0</v>
      </c>
      <c r="GK74" s="6">
        <f t="shared" si="1084"/>
        <v>96.774193548387103</v>
      </c>
      <c r="GL74" s="6">
        <f t="shared" si="1112"/>
        <v>100</v>
      </c>
      <c r="GM74" s="18">
        <f t="shared" si="1113"/>
        <v>0</v>
      </c>
      <c r="GN74" s="6">
        <f t="shared" si="1086"/>
        <v>83.040944444444449</v>
      </c>
      <c r="GO74" s="6">
        <f t="shared" si="1087"/>
        <v>720</v>
      </c>
      <c r="GP74" s="85">
        <v>14947.37</v>
      </c>
      <c r="GQ74" s="8">
        <v>25</v>
      </c>
      <c r="GT74" s="8" t="s">
        <v>79</v>
      </c>
      <c r="GU74" s="8">
        <f>$GT$4-GX74-GZ74-HB74</f>
        <v>707.25</v>
      </c>
      <c r="GV74" s="8">
        <v>533.85</v>
      </c>
      <c r="GW74" s="52">
        <v>173.4</v>
      </c>
      <c r="GX74" s="8">
        <v>36.75</v>
      </c>
      <c r="GY74" s="6">
        <f t="shared" si="559"/>
        <v>4.939516129032258</v>
      </c>
      <c r="GZ74" s="8">
        <v>0</v>
      </c>
      <c r="HA74" s="8">
        <f t="shared" si="560"/>
        <v>0</v>
      </c>
      <c r="HB74" s="8">
        <v>0</v>
      </c>
      <c r="HC74" s="6">
        <f t="shared" si="1089"/>
        <v>0</v>
      </c>
      <c r="HD74" s="8">
        <v>0</v>
      </c>
      <c r="HE74" s="6">
        <f t="shared" si="1090"/>
        <v>95.060483870967744</v>
      </c>
      <c r="HF74" s="6">
        <f t="shared" si="1091"/>
        <v>95.060483870967744</v>
      </c>
      <c r="HG74" s="6">
        <f t="shared" si="397"/>
        <v>6.4405888538380651</v>
      </c>
      <c r="HH74" s="6">
        <f t="shared" si="1092"/>
        <v>70.462741935483876</v>
      </c>
      <c r="HI74" s="6">
        <f t="shared" si="1093"/>
        <v>744</v>
      </c>
      <c r="HJ74" s="85">
        <v>13106.07</v>
      </c>
      <c r="HK74" s="8">
        <v>25</v>
      </c>
      <c r="HN74" s="8" t="s">
        <v>79</v>
      </c>
      <c r="HO74" s="49">
        <f t="shared" si="1094"/>
        <v>688.47</v>
      </c>
      <c r="HP74" s="49">
        <v>569.53</v>
      </c>
      <c r="HQ74" s="8">
        <v>118.94000000000005</v>
      </c>
      <c r="HR74" s="49">
        <v>31.53</v>
      </c>
      <c r="HS74" s="6">
        <f t="shared" si="1095"/>
        <v>4.3791666666666664</v>
      </c>
      <c r="HT74" s="8">
        <v>0</v>
      </c>
      <c r="HU74" s="8">
        <f t="shared" si="1096"/>
        <v>0</v>
      </c>
      <c r="HV74" s="8">
        <v>0</v>
      </c>
      <c r="HW74" s="8">
        <f t="shared" si="1096"/>
        <v>0</v>
      </c>
      <c r="HX74" s="8">
        <v>0</v>
      </c>
      <c r="HY74" s="6">
        <f t="shared" si="1115"/>
        <v>95.620833333333337</v>
      </c>
      <c r="HZ74" s="6">
        <f t="shared" si="1098"/>
        <v>95.620833333333337</v>
      </c>
      <c r="IA74" s="18">
        <f t="shared" si="1099"/>
        <v>5.2457325391807812</v>
      </c>
      <c r="IB74" s="6">
        <f t="shared" si="1116"/>
        <v>77.761072222222225</v>
      </c>
      <c r="IC74" s="6">
        <f t="shared" si="1101"/>
        <v>720</v>
      </c>
      <c r="ID74" s="92">
        <v>13996.993</v>
      </c>
      <c r="IE74" s="8">
        <v>25</v>
      </c>
      <c r="IF74" s="15">
        <v>25</v>
      </c>
    </row>
    <row r="75" spans="1:240" ht="15" x14ac:dyDescent="0.2">
      <c r="A75" s="74" t="s">
        <v>80</v>
      </c>
      <c r="B75" s="37" t="s">
        <v>70</v>
      </c>
      <c r="C75" s="8">
        <f t="shared" si="1026"/>
        <v>744</v>
      </c>
      <c r="D75" s="8">
        <v>696</v>
      </c>
      <c r="E75" s="8">
        <v>48</v>
      </c>
      <c r="F75" s="8">
        <v>0</v>
      </c>
      <c r="G75" s="8">
        <f t="shared" si="339"/>
        <v>0</v>
      </c>
      <c r="H75" s="8">
        <v>0</v>
      </c>
      <c r="I75" s="8">
        <f t="shared" si="340"/>
        <v>0</v>
      </c>
      <c r="J75" s="8">
        <v>0</v>
      </c>
      <c r="K75" s="6">
        <f>(J75/$B$4)*100</f>
        <v>0</v>
      </c>
      <c r="L75" s="8">
        <v>0</v>
      </c>
      <c r="M75" s="6">
        <f>(C75/$B$4)*100</f>
        <v>100</v>
      </c>
      <c r="N75" s="8">
        <f t="shared" si="525"/>
        <v>100</v>
      </c>
      <c r="O75" s="8">
        <f t="shared" si="1029"/>
        <v>0</v>
      </c>
      <c r="P75" s="6">
        <f>(R75/($B$4*S75))*100</f>
        <v>90.830026881720428</v>
      </c>
      <c r="Q75" s="6">
        <f t="shared" si="1031"/>
        <v>744</v>
      </c>
      <c r="R75" s="85">
        <v>16894.384999999998</v>
      </c>
      <c r="S75" s="8">
        <v>25</v>
      </c>
      <c r="U75" s="74" t="s">
        <v>80</v>
      </c>
      <c r="V75" s="37" t="s">
        <v>70</v>
      </c>
      <c r="W75" s="8">
        <f>$V$4-Z75-AB75-AD75</f>
        <v>744</v>
      </c>
      <c r="X75" s="8">
        <v>676</v>
      </c>
      <c r="Y75" s="8">
        <v>68</v>
      </c>
      <c r="Z75" s="8">
        <v>0</v>
      </c>
      <c r="AA75" s="8">
        <f t="shared" si="1033"/>
        <v>0</v>
      </c>
      <c r="AB75" s="8">
        <v>0</v>
      </c>
      <c r="AC75" s="8">
        <f t="shared" si="1033"/>
        <v>0</v>
      </c>
      <c r="AD75" s="8">
        <v>0</v>
      </c>
      <c r="AE75" s="8">
        <f t="shared" si="1033"/>
        <v>0</v>
      </c>
      <c r="AF75" s="8">
        <v>0</v>
      </c>
      <c r="AG75" s="6">
        <f t="shared" si="1034"/>
        <v>100</v>
      </c>
      <c r="AH75" s="8">
        <f t="shared" si="1035"/>
        <v>100</v>
      </c>
      <c r="AI75" s="8">
        <f t="shared" si="1036"/>
        <v>0</v>
      </c>
      <c r="AJ75" s="6">
        <f t="shared" si="1037"/>
        <v>87.378311827956992</v>
      </c>
      <c r="AK75" s="6">
        <f t="shared" si="1038"/>
        <v>744</v>
      </c>
      <c r="AL75" s="85">
        <v>16252.366</v>
      </c>
      <c r="AM75" s="8">
        <v>25</v>
      </c>
      <c r="AO75" s="74" t="s">
        <v>80</v>
      </c>
      <c r="AP75" s="37" t="s">
        <v>70</v>
      </c>
      <c r="AQ75" s="8">
        <f t="shared" si="1039"/>
        <v>720</v>
      </c>
      <c r="AR75" s="8">
        <v>652</v>
      </c>
      <c r="AS75" s="17">
        <f>720-AR75</f>
        <v>68</v>
      </c>
      <c r="AT75" s="8">
        <v>0</v>
      </c>
      <c r="AU75" s="8">
        <f t="shared" si="1041"/>
        <v>0</v>
      </c>
      <c r="AV75" s="8">
        <v>0</v>
      </c>
      <c r="AW75" s="8">
        <f t="shared" si="1042"/>
        <v>0</v>
      </c>
      <c r="AX75" s="8">
        <v>0</v>
      </c>
      <c r="AY75" s="8">
        <f t="shared" si="1043"/>
        <v>0</v>
      </c>
      <c r="AZ75" s="8">
        <v>0</v>
      </c>
      <c r="BA75" s="6">
        <f t="shared" si="1044"/>
        <v>100</v>
      </c>
      <c r="BB75" s="8">
        <f t="shared" si="1045"/>
        <v>100</v>
      </c>
      <c r="BC75" s="8">
        <f t="shared" si="1046"/>
        <v>0</v>
      </c>
      <c r="BD75" s="6">
        <f t="shared" si="1118"/>
        <v>87.878749999999997</v>
      </c>
      <c r="BE75" s="6">
        <f t="shared" si="1048"/>
        <v>720</v>
      </c>
      <c r="BF75" s="93">
        <v>15818.174999999999</v>
      </c>
      <c r="BG75" s="8">
        <v>25</v>
      </c>
      <c r="BI75" s="74" t="s">
        <v>80</v>
      </c>
      <c r="BJ75" s="37" t="s">
        <v>70</v>
      </c>
      <c r="BK75" s="6">
        <f t="shared" si="1049"/>
        <v>744</v>
      </c>
      <c r="BL75" s="8">
        <v>639</v>
      </c>
      <c r="BM75" s="17">
        <f>744-BL75</f>
        <v>105</v>
      </c>
      <c r="BN75" s="8">
        <v>0</v>
      </c>
      <c r="BO75" s="6">
        <f t="shared" si="1020"/>
        <v>0</v>
      </c>
      <c r="BP75" s="8">
        <v>0</v>
      </c>
      <c r="BQ75" s="6">
        <f t="shared" si="1020"/>
        <v>0</v>
      </c>
      <c r="BR75" s="6">
        <v>0</v>
      </c>
      <c r="BS75" s="6">
        <f>(BR75/$BJ$4)*100</f>
        <v>0</v>
      </c>
      <c r="BT75" s="8">
        <v>0</v>
      </c>
      <c r="BU75" s="6">
        <f t="shared" si="1052"/>
        <v>100</v>
      </c>
      <c r="BV75" s="6">
        <f t="shared" si="898"/>
        <v>100</v>
      </c>
      <c r="BW75" s="18">
        <f t="shared" si="899"/>
        <v>0</v>
      </c>
      <c r="BX75" s="6">
        <f>(BZ75/($BJ$4*CA75))*100</f>
        <v>83.2957258064516</v>
      </c>
      <c r="BY75" s="6">
        <f t="shared" si="1054"/>
        <v>744</v>
      </c>
      <c r="BZ75" s="43">
        <v>15493.004999999999</v>
      </c>
      <c r="CA75" s="8">
        <v>25</v>
      </c>
      <c r="CC75" s="74" t="s">
        <v>80</v>
      </c>
      <c r="CD75" s="37" t="s">
        <v>70</v>
      </c>
      <c r="CE75" s="6">
        <f t="shared" si="1055"/>
        <v>720</v>
      </c>
      <c r="CF75" s="8">
        <v>651.04</v>
      </c>
      <c r="CG75" s="6">
        <v>68.960000000000036</v>
      </c>
      <c r="CH75" s="8">
        <v>0</v>
      </c>
      <c r="CI75" s="6">
        <f t="shared" si="1103"/>
        <v>0</v>
      </c>
      <c r="CJ75" s="8">
        <v>0</v>
      </c>
      <c r="CK75" s="6">
        <f t="shared" si="1110"/>
        <v>0</v>
      </c>
      <c r="CL75" s="6">
        <v>0</v>
      </c>
      <c r="CM75" s="6">
        <f t="shared" si="1056"/>
        <v>0</v>
      </c>
      <c r="CN75" s="8">
        <v>0</v>
      </c>
      <c r="CO75" s="6">
        <f t="shared" si="1057"/>
        <v>100</v>
      </c>
      <c r="CP75" s="6">
        <f t="shared" si="1023"/>
        <v>100</v>
      </c>
      <c r="CQ75" s="18">
        <f t="shared" si="1104"/>
        <v>0</v>
      </c>
      <c r="CR75" s="6">
        <f t="shared" si="1059"/>
        <v>86.567594444444438</v>
      </c>
      <c r="CS75" s="6">
        <f t="shared" si="1060"/>
        <v>720</v>
      </c>
      <c r="CT75" s="43">
        <v>15582.166999999999</v>
      </c>
      <c r="CU75" s="8">
        <v>25</v>
      </c>
      <c r="CV75" s="6"/>
      <c r="CW75" s="74" t="s">
        <v>80</v>
      </c>
      <c r="CX75" s="37" t="s">
        <v>70</v>
      </c>
      <c r="CY75" s="6">
        <f t="shared" si="1061"/>
        <v>684.66</v>
      </c>
      <c r="CZ75" s="8">
        <v>590.41</v>
      </c>
      <c r="DA75" s="8">
        <v>94.25</v>
      </c>
      <c r="DB75" s="8">
        <v>0</v>
      </c>
      <c r="DC75" s="6">
        <f t="shared" si="416"/>
        <v>0</v>
      </c>
      <c r="DD75" s="8">
        <v>0</v>
      </c>
      <c r="DE75" s="6">
        <f t="shared" si="417"/>
        <v>0</v>
      </c>
      <c r="DF75" s="91">
        <v>59.34</v>
      </c>
      <c r="DG75" s="6">
        <f>(DF75/$CX$4)*100</f>
        <v>7.975806451612903</v>
      </c>
      <c r="DH75" s="8">
        <v>0</v>
      </c>
      <c r="DI75" s="6">
        <f t="shared" si="1063"/>
        <v>92.024193548387089</v>
      </c>
      <c r="DJ75" s="6">
        <f t="shared" si="464"/>
        <v>92.024193548387089</v>
      </c>
      <c r="DK75" s="18">
        <f t="shared" si="465"/>
        <v>0</v>
      </c>
      <c r="DL75" s="6">
        <f>(DN75/($CX$4*DO75))*100</f>
        <v>79.672655913978502</v>
      </c>
      <c r="DM75" s="6">
        <f t="shared" si="1065"/>
        <v>744</v>
      </c>
      <c r="DN75" s="43">
        <v>14819.114</v>
      </c>
      <c r="DO75" s="8">
        <v>25</v>
      </c>
      <c r="DQ75" s="74" t="s">
        <v>80</v>
      </c>
      <c r="DR75" s="37" t="s">
        <v>70</v>
      </c>
      <c r="DS75" s="6">
        <f t="shared" si="1066"/>
        <v>727.02</v>
      </c>
      <c r="DT75" s="8">
        <v>593.70000000000005</v>
      </c>
      <c r="DU75" s="8">
        <v>133.32</v>
      </c>
      <c r="DV75" s="8">
        <v>16.98</v>
      </c>
      <c r="DW75" s="6">
        <f t="shared" si="420"/>
        <v>2.282258064516129</v>
      </c>
      <c r="DX75" s="8">
        <v>0</v>
      </c>
      <c r="DY75" s="6">
        <f t="shared" si="421"/>
        <v>0</v>
      </c>
      <c r="DZ75" s="6">
        <v>0</v>
      </c>
      <c r="EA75" s="6">
        <f t="shared" si="1108"/>
        <v>0</v>
      </c>
      <c r="EB75" s="8">
        <v>0</v>
      </c>
      <c r="EC75" s="6">
        <f t="shared" si="1068"/>
        <v>97.717741935483872</v>
      </c>
      <c r="ED75" s="6">
        <f t="shared" si="467"/>
        <v>97.717741935483872</v>
      </c>
      <c r="EE75" s="18">
        <f t="shared" si="468"/>
        <v>2.7805069758302219</v>
      </c>
      <c r="EF75" s="6">
        <f>(EH75/($DR$4*EI75))*100</f>
        <v>77.5511129032258</v>
      </c>
      <c r="EG75" s="6">
        <f t="shared" si="1070"/>
        <v>744</v>
      </c>
      <c r="EH75" s="85">
        <v>14424.507</v>
      </c>
      <c r="EI75" s="8">
        <v>25</v>
      </c>
      <c r="EK75" s="74" t="s">
        <v>80</v>
      </c>
      <c r="EL75" s="37" t="s">
        <v>70</v>
      </c>
      <c r="EM75" s="6">
        <f t="shared" si="1071"/>
        <v>672</v>
      </c>
      <c r="EN75" s="8">
        <v>301.27999999999997</v>
      </c>
      <c r="EO75" s="8">
        <v>370.72</v>
      </c>
      <c r="EP75" s="8">
        <v>0</v>
      </c>
      <c r="EQ75" s="6">
        <f t="shared" si="424"/>
        <v>0</v>
      </c>
      <c r="ER75" s="8">
        <v>0</v>
      </c>
      <c r="ES75" s="6">
        <f t="shared" si="425"/>
        <v>0</v>
      </c>
      <c r="ET75" s="6">
        <v>0</v>
      </c>
      <c r="EU75" s="6">
        <f>(ET75/$EL$4)*100</f>
        <v>0</v>
      </c>
      <c r="EV75" s="8">
        <v>0</v>
      </c>
      <c r="EW75" s="6">
        <f t="shared" si="1073"/>
        <v>90.322580645161281</v>
      </c>
      <c r="EX75" s="6">
        <f t="shared" si="469"/>
        <v>100</v>
      </c>
      <c r="EY75" s="18">
        <f t="shared" si="470"/>
        <v>0</v>
      </c>
      <c r="EZ75" s="6">
        <f>(FB75/($EL$4*FC75))*100</f>
        <v>42.074595238095242</v>
      </c>
      <c r="FA75" s="6">
        <f t="shared" si="1075"/>
        <v>672</v>
      </c>
      <c r="FB75" s="43">
        <v>7068.5320000000002</v>
      </c>
      <c r="FC75" s="8">
        <v>25</v>
      </c>
      <c r="FE75" s="74" t="s">
        <v>80</v>
      </c>
      <c r="FF75" s="37" t="s">
        <v>70</v>
      </c>
      <c r="FG75" s="6">
        <f t="shared" si="1076"/>
        <v>744</v>
      </c>
      <c r="FH75" s="8">
        <v>623.23</v>
      </c>
      <c r="FI75" s="8">
        <v>120.77</v>
      </c>
      <c r="FJ75" s="8">
        <v>0</v>
      </c>
      <c r="FK75" s="6">
        <f t="shared" si="439"/>
        <v>0</v>
      </c>
      <c r="FL75" s="8">
        <v>0</v>
      </c>
      <c r="FM75" s="6">
        <f t="shared" si="440"/>
        <v>0</v>
      </c>
      <c r="FN75" s="6">
        <v>0</v>
      </c>
      <c r="FO75" s="6">
        <f>(FN75/$FF$4)*100</f>
        <v>0</v>
      </c>
      <c r="FP75" s="8">
        <v>0</v>
      </c>
      <c r="FQ75" s="6">
        <f t="shared" si="1078"/>
        <v>100</v>
      </c>
      <c r="FR75" s="6">
        <f t="shared" si="473"/>
        <v>100</v>
      </c>
      <c r="FS75" s="18">
        <f t="shared" si="474"/>
        <v>0</v>
      </c>
      <c r="FT75" s="6">
        <f>(FV75/($FF$4*FW75))*100</f>
        <v>82.644268817204306</v>
      </c>
      <c r="FU75" s="6">
        <f t="shared" si="1080"/>
        <v>744</v>
      </c>
      <c r="FV75" s="43">
        <v>15371.834000000001</v>
      </c>
      <c r="FW75" s="8">
        <v>25</v>
      </c>
      <c r="FY75" s="74" t="s">
        <v>80</v>
      </c>
      <c r="FZ75" s="37" t="s">
        <v>70</v>
      </c>
      <c r="GA75" s="6">
        <f t="shared" si="1081"/>
        <v>718.32</v>
      </c>
      <c r="GB75" s="8">
        <v>619.16999999999996</v>
      </c>
      <c r="GC75" s="8">
        <v>99.15</v>
      </c>
      <c r="GD75" s="8">
        <v>1.68</v>
      </c>
      <c r="GE75" s="6">
        <f t="shared" si="1082"/>
        <v>2.3333333333333331E-3</v>
      </c>
      <c r="GF75" s="8">
        <v>0</v>
      </c>
      <c r="GG75" s="6">
        <f t="shared" si="1111"/>
        <v>0</v>
      </c>
      <c r="GH75" s="6">
        <v>0</v>
      </c>
      <c r="GI75" s="6">
        <f>(GH75/$FZ$4)*100</f>
        <v>0</v>
      </c>
      <c r="GJ75" s="8">
        <v>0</v>
      </c>
      <c r="GK75" s="6">
        <f t="shared" si="1084"/>
        <v>96.548387096774206</v>
      </c>
      <c r="GL75" s="6">
        <f t="shared" si="1112"/>
        <v>99.766666666666666</v>
      </c>
      <c r="GM75" s="18">
        <f>IF((AND(GB75=0,GD75=0)),0,(GD75+GJ75)/(GB75+GD75)*100)</f>
        <v>0.27059676250302006</v>
      </c>
      <c r="GN75" s="6">
        <f t="shared" si="1086"/>
        <v>84.672833333333344</v>
      </c>
      <c r="GO75" s="6">
        <f t="shared" si="1087"/>
        <v>719.99999999999989</v>
      </c>
      <c r="GP75" s="85">
        <v>15241.11</v>
      </c>
      <c r="GQ75" s="8">
        <v>25</v>
      </c>
      <c r="GS75" s="74" t="s">
        <v>80</v>
      </c>
      <c r="GT75" s="37" t="s">
        <v>70</v>
      </c>
      <c r="GU75" s="8">
        <f t="shared" si="1088"/>
        <v>744</v>
      </c>
      <c r="GV75" s="8">
        <v>575.21</v>
      </c>
      <c r="GW75" s="52">
        <v>168.78999999999996</v>
      </c>
      <c r="GX75" s="8">
        <v>0</v>
      </c>
      <c r="GY75" s="8">
        <f t="shared" si="559"/>
        <v>0</v>
      </c>
      <c r="GZ75" s="8">
        <v>0</v>
      </c>
      <c r="HA75" s="8">
        <f t="shared" si="560"/>
        <v>0</v>
      </c>
      <c r="HB75" s="8">
        <v>0</v>
      </c>
      <c r="HC75" s="6">
        <f>(HB75/$GT$4)*100</f>
        <v>0</v>
      </c>
      <c r="HD75" s="8">
        <v>0</v>
      </c>
      <c r="HE75" s="6">
        <f t="shared" si="1090"/>
        <v>100</v>
      </c>
      <c r="HF75" s="6">
        <f t="shared" si="1091"/>
        <v>100</v>
      </c>
      <c r="HG75" s="8">
        <f t="shared" si="397"/>
        <v>0</v>
      </c>
      <c r="HH75" s="6">
        <f>(HJ75/($GT$4*HK75))*100</f>
        <v>76.058333333333337</v>
      </c>
      <c r="HI75" s="6">
        <f t="shared" si="1093"/>
        <v>744</v>
      </c>
      <c r="HJ75" s="85">
        <v>14146.85</v>
      </c>
      <c r="HK75" s="8">
        <v>25</v>
      </c>
      <c r="HM75" s="74" t="s">
        <v>80</v>
      </c>
      <c r="HN75" s="37" t="s">
        <v>70</v>
      </c>
      <c r="HO75" s="49">
        <f t="shared" si="1094"/>
        <v>720</v>
      </c>
      <c r="HP75" s="49">
        <v>525.19000000000005</v>
      </c>
      <c r="HQ75" s="8">
        <v>194.80999999999995</v>
      </c>
      <c r="HR75" s="49">
        <v>0</v>
      </c>
      <c r="HS75" s="8">
        <f t="shared" si="1095"/>
        <v>0</v>
      </c>
      <c r="HT75" s="8">
        <v>0</v>
      </c>
      <c r="HU75" s="8">
        <f t="shared" si="1096"/>
        <v>0</v>
      </c>
      <c r="HV75" s="8">
        <v>0</v>
      </c>
      <c r="HW75" s="8">
        <f t="shared" si="1096"/>
        <v>0</v>
      </c>
      <c r="HX75" s="8">
        <v>0</v>
      </c>
      <c r="HY75" s="6">
        <f>(HO75/$HN$4)*100</f>
        <v>100</v>
      </c>
      <c r="HZ75" s="6">
        <f>((HO75-HX75)/$HN$4)*100</f>
        <v>100</v>
      </c>
      <c r="IA75" s="18">
        <f t="shared" si="1099"/>
        <v>0</v>
      </c>
      <c r="IB75" s="6">
        <f>(ID75/($HN$4*IE75))*100</f>
        <v>72.658705555555542</v>
      </c>
      <c r="IC75" s="6">
        <f t="shared" si="1101"/>
        <v>720</v>
      </c>
      <c r="ID75" s="92">
        <v>13078.566999999999</v>
      </c>
      <c r="IE75" s="8">
        <v>25</v>
      </c>
      <c r="IF75" s="15">
        <v>25</v>
      </c>
    </row>
    <row r="76" spans="1:240" ht="14.25" x14ac:dyDescent="0.2">
      <c r="B76" s="37" t="s">
        <v>71</v>
      </c>
      <c r="C76" s="8">
        <f t="shared" si="1026"/>
        <v>744</v>
      </c>
      <c r="D76" s="8">
        <v>681</v>
      </c>
      <c r="E76" s="8">
        <v>63</v>
      </c>
      <c r="F76" s="8">
        <v>0</v>
      </c>
      <c r="G76" s="8">
        <f t="shared" si="339"/>
        <v>0</v>
      </c>
      <c r="H76" s="8">
        <v>0</v>
      </c>
      <c r="I76" s="8">
        <f t="shared" si="340"/>
        <v>0</v>
      </c>
      <c r="J76" s="8">
        <v>0</v>
      </c>
      <c r="K76" s="6">
        <f t="shared" si="1027"/>
        <v>0</v>
      </c>
      <c r="L76" s="8">
        <v>0</v>
      </c>
      <c r="M76" s="6">
        <f t="shared" ref="M76:M78" si="1119">(C76/$B$4)*100</f>
        <v>100</v>
      </c>
      <c r="N76" s="8">
        <f t="shared" si="525"/>
        <v>100</v>
      </c>
      <c r="O76" s="8">
        <f t="shared" si="1029"/>
        <v>0</v>
      </c>
      <c r="P76" s="6">
        <f t="shared" si="1030"/>
        <v>85.966188172043019</v>
      </c>
      <c r="Q76" s="6">
        <f t="shared" si="1031"/>
        <v>744</v>
      </c>
      <c r="R76" s="85">
        <v>15989.710999999999</v>
      </c>
      <c r="S76" s="8">
        <v>25</v>
      </c>
      <c r="V76" s="37" t="s">
        <v>71</v>
      </c>
      <c r="W76" s="8">
        <f t="shared" si="1032"/>
        <v>744</v>
      </c>
      <c r="X76" s="8">
        <v>681</v>
      </c>
      <c r="Y76" s="8">
        <v>63</v>
      </c>
      <c r="Z76" s="8">
        <v>0</v>
      </c>
      <c r="AA76" s="8">
        <f t="shared" si="1033"/>
        <v>0</v>
      </c>
      <c r="AB76" s="8">
        <v>0</v>
      </c>
      <c r="AC76" s="8">
        <f t="shared" si="1033"/>
        <v>0</v>
      </c>
      <c r="AD76" s="8">
        <v>0</v>
      </c>
      <c r="AE76" s="8">
        <f t="shared" si="1033"/>
        <v>0</v>
      </c>
      <c r="AF76" s="8">
        <v>0</v>
      </c>
      <c r="AG76" s="6">
        <f t="shared" si="1034"/>
        <v>100</v>
      </c>
      <c r="AH76" s="8">
        <f t="shared" si="1035"/>
        <v>100</v>
      </c>
      <c r="AI76" s="8">
        <f t="shared" si="1036"/>
        <v>0</v>
      </c>
      <c r="AJ76" s="6">
        <f t="shared" si="1037"/>
        <v>88.469198924731188</v>
      </c>
      <c r="AK76" s="6">
        <f t="shared" si="1038"/>
        <v>744</v>
      </c>
      <c r="AL76" s="85">
        <v>16455.271000000001</v>
      </c>
      <c r="AM76" s="8">
        <v>25</v>
      </c>
      <c r="AP76" s="37" t="s">
        <v>71</v>
      </c>
      <c r="AQ76" s="8">
        <f t="shared" si="1039"/>
        <v>720</v>
      </c>
      <c r="AR76" s="8">
        <v>650</v>
      </c>
      <c r="AS76" s="17">
        <f>720-AR76</f>
        <v>70</v>
      </c>
      <c r="AT76" s="8">
        <v>0</v>
      </c>
      <c r="AU76" s="8">
        <f t="shared" si="1041"/>
        <v>0</v>
      </c>
      <c r="AV76" s="8">
        <v>0</v>
      </c>
      <c r="AW76" s="8">
        <f t="shared" si="1042"/>
        <v>0</v>
      </c>
      <c r="AX76" s="8">
        <v>0</v>
      </c>
      <c r="AY76" s="8">
        <f t="shared" si="1043"/>
        <v>0</v>
      </c>
      <c r="AZ76" s="8">
        <v>0</v>
      </c>
      <c r="BA76" s="6">
        <f t="shared" si="1044"/>
        <v>100</v>
      </c>
      <c r="BB76" s="8">
        <f t="shared" si="1045"/>
        <v>100</v>
      </c>
      <c r="BC76" s="8">
        <f t="shared" si="1046"/>
        <v>0</v>
      </c>
      <c r="BD76" s="6">
        <f t="shared" si="1118"/>
        <v>85.858072222222219</v>
      </c>
      <c r="BE76" s="6">
        <f t="shared" si="1048"/>
        <v>720</v>
      </c>
      <c r="BF76" s="93">
        <v>15454.453</v>
      </c>
      <c r="BG76" s="8">
        <v>25</v>
      </c>
      <c r="BJ76" s="37" t="s">
        <v>71</v>
      </c>
      <c r="BK76" s="6">
        <f t="shared" si="1049"/>
        <v>744</v>
      </c>
      <c r="BL76" s="8">
        <v>625</v>
      </c>
      <c r="BM76" s="17">
        <f>744-BL76</f>
        <v>119</v>
      </c>
      <c r="BN76" s="8">
        <v>0</v>
      </c>
      <c r="BO76" s="6">
        <f t="shared" si="1020"/>
        <v>0</v>
      </c>
      <c r="BP76" s="8">
        <v>0</v>
      </c>
      <c r="BQ76" s="6">
        <f t="shared" si="1020"/>
        <v>0</v>
      </c>
      <c r="BR76" s="6">
        <v>0</v>
      </c>
      <c r="BS76" s="6">
        <f t="shared" si="1051"/>
        <v>0</v>
      </c>
      <c r="BT76" s="8">
        <v>0</v>
      </c>
      <c r="BU76" s="6">
        <f t="shared" si="1052"/>
        <v>100</v>
      </c>
      <c r="BV76" s="6">
        <f t="shared" si="898"/>
        <v>100</v>
      </c>
      <c r="BW76" s="18">
        <f t="shared" si="899"/>
        <v>0</v>
      </c>
      <c r="BX76" s="6">
        <f t="shared" si="1053"/>
        <v>81.182430107526883</v>
      </c>
      <c r="BY76" s="6">
        <f t="shared" si="1054"/>
        <v>744</v>
      </c>
      <c r="BZ76" s="43">
        <v>15099.932000000001</v>
      </c>
      <c r="CA76" s="8">
        <v>25</v>
      </c>
      <c r="CD76" s="37" t="s">
        <v>71</v>
      </c>
      <c r="CE76" s="6">
        <f t="shared" si="1055"/>
        <v>717.13</v>
      </c>
      <c r="CF76" s="8">
        <v>626.9</v>
      </c>
      <c r="CG76" s="6">
        <v>90.230000000000018</v>
      </c>
      <c r="CH76" s="8">
        <v>2.87</v>
      </c>
      <c r="CI76" s="6">
        <f t="shared" si="1103"/>
        <v>0.39861111111111114</v>
      </c>
      <c r="CJ76" s="8">
        <v>0</v>
      </c>
      <c r="CK76" s="6">
        <f t="shared" si="1110"/>
        <v>0</v>
      </c>
      <c r="CL76" s="6">
        <v>0</v>
      </c>
      <c r="CM76" s="6">
        <f t="shared" si="1056"/>
        <v>0</v>
      </c>
      <c r="CN76" s="8">
        <v>0</v>
      </c>
      <c r="CO76" s="6">
        <f t="shared" si="1057"/>
        <v>99.601388888888891</v>
      </c>
      <c r="CP76" s="6">
        <f t="shared" si="1023"/>
        <v>99.601388888888891</v>
      </c>
      <c r="CQ76" s="18">
        <f t="shared" si="1104"/>
        <v>0.45572193022849611</v>
      </c>
      <c r="CR76" s="6">
        <f>(CT76/($CD$4*CU76))*100</f>
        <v>85.411127777777779</v>
      </c>
      <c r="CS76" s="6">
        <f t="shared" si="1060"/>
        <v>720</v>
      </c>
      <c r="CT76" s="43">
        <v>15374.003000000001</v>
      </c>
      <c r="CU76" s="8">
        <v>25</v>
      </c>
      <c r="CV76" s="6"/>
      <c r="CX76" s="37" t="s">
        <v>71</v>
      </c>
      <c r="CY76" s="6">
        <f t="shared" si="1061"/>
        <v>686.18</v>
      </c>
      <c r="CZ76" s="8">
        <v>612.71</v>
      </c>
      <c r="DA76" s="8">
        <v>73.469999999999914</v>
      </c>
      <c r="DB76" s="8">
        <v>0</v>
      </c>
      <c r="DC76" s="6">
        <f t="shared" si="416"/>
        <v>0</v>
      </c>
      <c r="DD76" s="8">
        <v>0</v>
      </c>
      <c r="DE76" s="6">
        <f t="shared" si="417"/>
        <v>0</v>
      </c>
      <c r="DF76" s="91">
        <v>57.82</v>
      </c>
      <c r="DG76" s="6">
        <f t="shared" si="1107"/>
        <v>7.771505376344086</v>
      </c>
      <c r="DH76" s="8">
        <v>0</v>
      </c>
      <c r="DI76" s="6">
        <f t="shared" si="1063"/>
        <v>92.228494623655905</v>
      </c>
      <c r="DJ76" s="6">
        <f t="shared" si="464"/>
        <v>92.228494623655905</v>
      </c>
      <c r="DK76" s="18">
        <f t="shared" si="465"/>
        <v>0</v>
      </c>
      <c r="DL76" s="6">
        <f t="shared" si="1064"/>
        <v>80.229381720430112</v>
      </c>
      <c r="DM76" s="6">
        <f t="shared" si="1065"/>
        <v>744</v>
      </c>
      <c r="DN76" s="43">
        <v>14922.665000000001</v>
      </c>
      <c r="DO76" s="8">
        <v>25</v>
      </c>
      <c r="DR76" s="37" t="s">
        <v>71</v>
      </c>
      <c r="DS76" s="6">
        <f t="shared" si="1066"/>
        <v>744</v>
      </c>
      <c r="DT76" s="8">
        <v>610.54999999999995</v>
      </c>
      <c r="DU76" s="8">
        <v>133.44999999999999</v>
      </c>
      <c r="DV76" s="8">
        <v>0</v>
      </c>
      <c r="DW76" s="6">
        <f t="shared" si="420"/>
        <v>0</v>
      </c>
      <c r="DX76" s="8">
        <v>0</v>
      </c>
      <c r="DY76" s="6">
        <f t="shared" si="421"/>
        <v>0</v>
      </c>
      <c r="DZ76" s="6">
        <v>0</v>
      </c>
      <c r="EA76" s="6">
        <f t="shared" si="1108"/>
        <v>0</v>
      </c>
      <c r="EB76" s="8">
        <v>0</v>
      </c>
      <c r="EC76" s="6">
        <f t="shared" si="1068"/>
        <v>100</v>
      </c>
      <c r="ED76" s="6">
        <f t="shared" si="467"/>
        <v>100</v>
      </c>
      <c r="EE76" s="18">
        <f t="shared" si="468"/>
        <v>0</v>
      </c>
      <c r="EF76" s="6">
        <f t="shared" si="1069"/>
        <v>81.296725806451619</v>
      </c>
      <c r="EG76" s="6">
        <f t="shared" si="1070"/>
        <v>744</v>
      </c>
      <c r="EH76" s="85">
        <v>15121.191000000001</v>
      </c>
      <c r="EI76" s="8">
        <v>25</v>
      </c>
      <c r="EL76" s="37" t="s">
        <v>71</v>
      </c>
      <c r="EM76" s="6">
        <f t="shared" si="1071"/>
        <v>672</v>
      </c>
      <c r="EN76" s="8">
        <v>300.23</v>
      </c>
      <c r="EO76" s="8">
        <v>371.77</v>
      </c>
      <c r="EP76" s="8">
        <v>0</v>
      </c>
      <c r="EQ76" s="6">
        <f t="shared" si="424"/>
        <v>0</v>
      </c>
      <c r="ER76" s="8">
        <v>0</v>
      </c>
      <c r="ES76" s="6">
        <f t="shared" si="425"/>
        <v>0</v>
      </c>
      <c r="ET76" s="6">
        <v>0</v>
      </c>
      <c r="EU76" s="6">
        <f t="shared" si="1109"/>
        <v>0</v>
      </c>
      <c r="EV76" s="8">
        <v>0</v>
      </c>
      <c r="EW76" s="6">
        <f t="shared" si="1073"/>
        <v>90.322580645161281</v>
      </c>
      <c r="EX76" s="6">
        <f t="shared" si="469"/>
        <v>100</v>
      </c>
      <c r="EY76" s="18">
        <f t="shared" si="470"/>
        <v>0</v>
      </c>
      <c r="EZ76" s="6">
        <f t="shared" si="1074"/>
        <v>44.908666666666669</v>
      </c>
      <c r="FA76" s="6">
        <f t="shared" si="1075"/>
        <v>672</v>
      </c>
      <c r="FB76" s="43">
        <v>7544.6559999999999</v>
      </c>
      <c r="FC76" s="8">
        <v>25</v>
      </c>
      <c r="FF76" s="37" t="s">
        <v>71</v>
      </c>
      <c r="FG76" s="6">
        <f t="shared" si="1076"/>
        <v>744</v>
      </c>
      <c r="FH76" s="8">
        <v>624.85</v>
      </c>
      <c r="FI76" s="8">
        <v>119.15</v>
      </c>
      <c r="FJ76" s="8">
        <v>0</v>
      </c>
      <c r="FK76" s="6">
        <f t="shared" si="439"/>
        <v>0</v>
      </c>
      <c r="FL76" s="8">
        <v>0</v>
      </c>
      <c r="FM76" s="6">
        <f t="shared" si="440"/>
        <v>0</v>
      </c>
      <c r="FN76" s="6">
        <v>0</v>
      </c>
      <c r="FO76" s="6">
        <f t="shared" si="1077"/>
        <v>0</v>
      </c>
      <c r="FP76" s="8">
        <v>0</v>
      </c>
      <c r="FQ76" s="6">
        <f t="shared" si="1078"/>
        <v>100</v>
      </c>
      <c r="FR76" s="6">
        <f t="shared" si="473"/>
        <v>100</v>
      </c>
      <c r="FS76" s="18">
        <f t="shared" si="474"/>
        <v>0</v>
      </c>
      <c r="FT76" s="6">
        <f t="shared" si="1079"/>
        <v>84.973903225806453</v>
      </c>
      <c r="FU76" s="6">
        <f t="shared" si="1080"/>
        <v>744</v>
      </c>
      <c r="FV76" s="43">
        <v>15805.146000000001</v>
      </c>
      <c r="FW76" s="8">
        <v>25</v>
      </c>
      <c r="FZ76" s="37" t="s">
        <v>71</v>
      </c>
      <c r="GA76" s="6">
        <f>$FZ$4-GD76-GF76-GH76</f>
        <v>511.25</v>
      </c>
      <c r="GB76" s="8">
        <v>433.21</v>
      </c>
      <c r="GC76" s="8">
        <v>78.040000000000006</v>
      </c>
      <c r="GD76" s="8">
        <v>208.75</v>
      </c>
      <c r="GE76" s="6">
        <f t="shared" si="1082"/>
        <v>0.28993055555555558</v>
      </c>
      <c r="GF76" s="8">
        <v>0</v>
      </c>
      <c r="GG76" s="6">
        <f t="shared" si="1111"/>
        <v>0</v>
      </c>
      <c r="GH76" s="6">
        <v>0</v>
      </c>
      <c r="GI76" s="6">
        <f t="shared" si="1083"/>
        <v>0</v>
      </c>
      <c r="GJ76" s="8">
        <v>0</v>
      </c>
      <c r="GK76" s="6">
        <f t="shared" si="1084"/>
        <v>68.716397849462368</v>
      </c>
      <c r="GL76" s="6">
        <f t="shared" si="1112"/>
        <v>71.006944444444443</v>
      </c>
      <c r="GM76" s="18">
        <f t="shared" ref="GM76:GM78" si="1120">IF((AND(GB76=0,GD76=0)),0,(GD76+GJ76)/(GB76+GD76)*100)</f>
        <v>32.5176023428251</v>
      </c>
      <c r="GN76" s="6">
        <f t="shared" si="1086"/>
        <v>57.069333333333326</v>
      </c>
      <c r="GO76" s="6">
        <f t="shared" si="1087"/>
        <v>720</v>
      </c>
      <c r="GP76" s="85">
        <v>10272.48</v>
      </c>
      <c r="GQ76" s="8">
        <v>25</v>
      </c>
      <c r="GT76" s="37" t="s">
        <v>71</v>
      </c>
      <c r="GU76" s="8">
        <f t="shared" si="1088"/>
        <v>744</v>
      </c>
      <c r="GV76" s="8">
        <v>577.87</v>
      </c>
      <c r="GW76" s="52">
        <v>166.13000000000011</v>
      </c>
      <c r="GX76" s="8">
        <v>0</v>
      </c>
      <c r="GY76" s="8">
        <f t="shared" si="559"/>
        <v>0</v>
      </c>
      <c r="GZ76" s="8">
        <v>0</v>
      </c>
      <c r="HA76" s="8">
        <f t="shared" si="560"/>
        <v>0</v>
      </c>
      <c r="HB76" s="8">
        <v>0</v>
      </c>
      <c r="HC76" s="6">
        <f t="shared" si="1089"/>
        <v>0</v>
      </c>
      <c r="HD76" s="8">
        <v>0</v>
      </c>
      <c r="HE76" s="6">
        <f t="shared" si="1090"/>
        <v>100</v>
      </c>
      <c r="HF76" s="6">
        <f t="shared" si="1091"/>
        <v>100</v>
      </c>
      <c r="HG76" s="8">
        <f t="shared" si="397"/>
        <v>0</v>
      </c>
      <c r="HH76" s="6">
        <f t="shared" si="1092"/>
        <v>74.389193548387084</v>
      </c>
      <c r="HI76" s="6">
        <f t="shared" si="1093"/>
        <v>744.00000000000011</v>
      </c>
      <c r="HJ76" s="85">
        <v>13836.39</v>
      </c>
      <c r="HK76" s="8">
        <v>25</v>
      </c>
      <c r="HN76" s="37" t="s">
        <v>71</v>
      </c>
      <c r="HO76" s="49">
        <f t="shared" si="1094"/>
        <v>715.89</v>
      </c>
      <c r="HP76" s="49">
        <v>519</v>
      </c>
      <c r="HQ76" s="8">
        <v>196.89</v>
      </c>
      <c r="HR76" s="49">
        <v>4.1100000000000003</v>
      </c>
      <c r="HS76" s="6">
        <f t="shared" si="1095"/>
        <v>0.5708333333333333</v>
      </c>
      <c r="HT76" s="8">
        <v>0</v>
      </c>
      <c r="HU76" s="8">
        <f t="shared" si="1096"/>
        <v>0</v>
      </c>
      <c r="HV76" s="8">
        <v>0</v>
      </c>
      <c r="HW76" s="8">
        <f t="shared" si="1096"/>
        <v>0</v>
      </c>
      <c r="HX76" s="8">
        <v>0</v>
      </c>
      <c r="HY76" s="6">
        <f t="shared" ref="HY76:HY78" si="1121">(HO76/$HN$4)*100</f>
        <v>99.429166666666674</v>
      </c>
      <c r="HZ76" s="6">
        <f t="shared" ref="HZ76:HZ78" si="1122">((HO76-HX76)/$HN$4)*100</f>
        <v>99.429166666666674</v>
      </c>
      <c r="IA76" s="18">
        <f t="shared" si="1099"/>
        <v>0.7856856110569479</v>
      </c>
      <c r="IB76" s="6">
        <f t="shared" ref="IB76:IB78" si="1123">(ID76/($HN$4*IE76))*100</f>
        <v>67.524411111111121</v>
      </c>
      <c r="IC76" s="6">
        <f t="shared" si="1101"/>
        <v>720</v>
      </c>
      <c r="ID76" s="92">
        <v>12154.394</v>
      </c>
      <c r="IE76" s="8">
        <v>25</v>
      </c>
      <c r="IF76" s="15">
        <v>25</v>
      </c>
    </row>
    <row r="77" spans="1:240" ht="14.25" x14ac:dyDescent="0.2">
      <c r="B77" s="37" t="s">
        <v>72</v>
      </c>
      <c r="C77" s="8">
        <f t="shared" si="1026"/>
        <v>744</v>
      </c>
      <c r="D77" s="8">
        <v>684</v>
      </c>
      <c r="E77" s="8">
        <v>60</v>
      </c>
      <c r="F77" s="8">
        <v>0</v>
      </c>
      <c r="G77" s="8">
        <f t="shared" si="339"/>
        <v>0</v>
      </c>
      <c r="H77" s="8">
        <v>0</v>
      </c>
      <c r="I77" s="8">
        <f t="shared" si="340"/>
        <v>0</v>
      </c>
      <c r="J77" s="8">
        <v>0</v>
      </c>
      <c r="K77" s="6">
        <f t="shared" si="1027"/>
        <v>0</v>
      </c>
      <c r="L77" s="8">
        <v>0</v>
      </c>
      <c r="M77" s="6">
        <f>(C77/$B$4)*100</f>
        <v>100</v>
      </c>
      <c r="N77" s="8">
        <f t="shared" si="525"/>
        <v>100</v>
      </c>
      <c r="O77" s="8">
        <f t="shared" si="1029"/>
        <v>0</v>
      </c>
      <c r="P77" s="6">
        <f t="shared" si="1030"/>
        <v>98.993770161290314</v>
      </c>
      <c r="Q77" s="6">
        <f t="shared" si="1031"/>
        <v>744</v>
      </c>
      <c r="R77" s="85">
        <v>14730.272999999999</v>
      </c>
      <c r="S77" s="8">
        <v>20</v>
      </c>
      <c r="V77" s="37" t="s">
        <v>72</v>
      </c>
      <c r="W77" s="8">
        <f t="shared" si="1032"/>
        <v>744</v>
      </c>
      <c r="X77" s="8">
        <v>675</v>
      </c>
      <c r="Y77" s="8">
        <v>69</v>
      </c>
      <c r="Z77" s="8">
        <v>0</v>
      </c>
      <c r="AA77" s="8">
        <f t="shared" si="1033"/>
        <v>0</v>
      </c>
      <c r="AB77" s="8">
        <v>0</v>
      </c>
      <c r="AC77" s="8">
        <f t="shared" si="1033"/>
        <v>0</v>
      </c>
      <c r="AD77" s="8">
        <v>0</v>
      </c>
      <c r="AE77" s="8">
        <f t="shared" si="1033"/>
        <v>0</v>
      </c>
      <c r="AF77" s="8">
        <v>0</v>
      </c>
      <c r="AG77" s="6">
        <f t="shared" si="1034"/>
        <v>100</v>
      </c>
      <c r="AH77" s="8">
        <f t="shared" si="1035"/>
        <v>100</v>
      </c>
      <c r="AI77" s="8">
        <f t="shared" si="1036"/>
        <v>0</v>
      </c>
      <c r="AJ77" s="6">
        <f t="shared" si="1037"/>
        <v>95.130974462365586</v>
      </c>
      <c r="AK77" s="6">
        <f t="shared" si="1038"/>
        <v>744</v>
      </c>
      <c r="AL77" s="85">
        <v>14155.489</v>
      </c>
      <c r="AM77" s="8">
        <v>20</v>
      </c>
      <c r="AP77" s="37" t="s">
        <v>72</v>
      </c>
      <c r="AQ77" s="8">
        <f t="shared" si="1039"/>
        <v>720</v>
      </c>
      <c r="AR77" s="8">
        <v>643</v>
      </c>
      <c r="AS77" s="17">
        <f>720-AR77</f>
        <v>77</v>
      </c>
      <c r="AT77" s="8">
        <v>0</v>
      </c>
      <c r="AU77" s="8">
        <f t="shared" si="1041"/>
        <v>0</v>
      </c>
      <c r="AV77" s="8">
        <v>0</v>
      </c>
      <c r="AW77" s="8">
        <f t="shared" si="1042"/>
        <v>0</v>
      </c>
      <c r="AX77" s="8">
        <v>0</v>
      </c>
      <c r="AY77" s="8">
        <f t="shared" si="1043"/>
        <v>0</v>
      </c>
      <c r="AZ77" s="8">
        <v>0</v>
      </c>
      <c r="BA77" s="6">
        <f t="shared" si="1044"/>
        <v>100</v>
      </c>
      <c r="BB77" s="8">
        <f t="shared" si="1045"/>
        <v>100</v>
      </c>
      <c r="BC77" s="8">
        <f t="shared" si="1046"/>
        <v>0</v>
      </c>
      <c r="BD77" s="6">
        <f t="shared" si="1118"/>
        <v>93.400312499999998</v>
      </c>
      <c r="BE77" s="6">
        <f t="shared" si="1048"/>
        <v>720</v>
      </c>
      <c r="BF77" s="93">
        <v>13449.645</v>
      </c>
      <c r="BG77" s="8">
        <v>20</v>
      </c>
      <c r="BJ77" s="37" t="s">
        <v>72</v>
      </c>
      <c r="BK77" s="6">
        <f t="shared" si="1049"/>
        <v>744</v>
      </c>
      <c r="BL77" s="8">
        <v>640</v>
      </c>
      <c r="BM77" s="17">
        <f>744-BL77</f>
        <v>104</v>
      </c>
      <c r="BN77" s="8">
        <v>0</v>
      </c>
      <c r="BO77" s="6">
        <f t="shared" si="1020"/>
        <v>0</v>
      </c>
      <c r="BP77" s="8">
        <v>0</v>
      </c>
      <c r="BQ77" s="6">
        <f t="shared" si="1020"/>
        <v>0</v>
      </c>
      <c r="BR77" s="6">
        <v>0</v>
      </c>
      <c r="BS77" s="6">
        <f t="shared" si="1051"/>
        <v>0</v>
      </c>
      <c r="BT77" s="8">
        <v>0</v>
      </c>
      <c r="BU77" s="6">
        <f t="shared" si="1052"/>
        <v>100</v>
      </c>
      <c r="BV77" s="6">
        <f t="shared" si="898"/>
        <v>100</v>
      </c>
      <c r="BW77" s="18">
        <f t="shared" si="899"/>
        <v>0</v>
      </c>
      <c r="BX77" s="6">
        <f t="shared" si="1053"/>
        <v>91.057876344086026</v>
      </c>
      <c r="BY77" s="6">
        <f t="shared" si="1054"/>
        <v>744</v>
      </c>
      <c r="BZ77" s="43">
        <v>13549.412</v>
      </c>
      <c r="CA77" s="8">
        <v>20</v>
      </c>
      <c r="CD77" s="37" t="s">
        <v>72</v>
      </c>
      <c r="CE77" s="6">
        <f t="shared" si="1055"/>
        <v>719.83</v>
      </c>
      <c r="CF77" s="8">
        <v>615.66</v>
      </c>
      <c r="CG77" s="6">
        <v>104.17000000000007</v>
      </c>
      <c r="CH77" s="8">
        <v>0.17</v>
      </c>
      <c r="CI77" s="6">
        <f t="shared" si="1103"/>
        <v>2.361111111111111E-2</v>
      </c>
      <c r="CJ77" s="8">
        <v>0</v>
      </c>
      <c r="CK77" s="6">
        <f t="shared" si="1110"/>
        <v>0</v>
      </c>
      <c r="CL77" s="6">
        <v>0</v>
      </c>
      <c r="CM77" s="6">
        <f t="shared" si="1056"/>
        <v>0</v>
      </c>
      <c r="CN77" s="8">
        <v>0</v>
      </c>
      <c r="CO77" s="6">
        <f>(CE77/$CD$4)*100</f>
        <v>99.976388888888891</v>
      </c>
      <c r="CP77" s="6">
        <f t="shared" si="1023"/>
        <v>99.976388888888891</v>
      </c>
      <c r="CQ77" s="18">
        <f t="shared" si="1104"/>
        <v>2.760502086614813E-2</v>
      </c>
      <c r="CR77" s="6">
        <f t="shared" si="1059"/>
        <v>93.927173611111115</v>
      </c>
      <c r="CS77" s="6">
        <f t="shared" si="1060"/>
        <v>720</v>
      </c>
      <c r="CT77" s="43">
        <v>13525.513000000001</v>
      </c>
      <c r="CU77" s="8">
        <v>20</v>
      </c>
      <c r="CV77" s="6"/>
      <c r="CX77" s="37" t="s">
        <v>72</v>
      </c>
      <c r="CY77" s="6">
        <f t="shared" si="1061"/>
        <v>648.52</v>
      </c>
      <c r="CZ77" s="8">
        <v>541.33000000000004</v>
      </c>
      <c r="DA77" s="8">
        <v>107.18999999999994</v>
      </c>
      <c r="DB77" s="8">
        <v>0</v>
      </c>
      <c r="DC77" s="6">
        <f t="shared" si="416"/>
        <v>0</v>
      </c>
      <c r="DD77" s="8">
        <v>0</v>
      </c>
      <c r="DE77" s="6">
        <f t="shared" si="417"/>
        <v>0</v>
      </c>
      <c r="DF77" s="91">
        <v>95.48</v>
      </c>
      <c r="DG77" s="6">
        <f t="shared" si="1107"/>
        <v>12.833333333333332</v>
      </c>
      <c r="DH77" s="8">
        <v>0</v>
      </c>
      <c r="DI77" s="6">
        <f t="shared" si="1063"/>
        <v>87.166666666666657</v>
      </c>
      <c r="DJ77" s="6">
        <f t="shared" si="464"/>
        <v>87.166666666666657</v>
      </c>
      <c r="DK77" s="18">
        <f t="shared" si="465"/>
        <v>0</v>
      </c>
      <c r="DL77" s="6">
        <f t="shared" si="1064"/>
        <v>80.777217741935488</v>
      </c>
      <c r="DM77" s="6">
        <f t="shared" si="1065"/>
        <v>744</v>
      </c>
      <c r="DN77" s="43">
        <v>12019.65</v>
      </c>
      <c r="DO77" s="8">
        <v>20</v>
      </c>
      <c r="DR77" s="37" t="s">
        <v>72</v>
      </c>
      <c r="DS77" s="6">
        <f t="shared" si="1066"/>
        <v>744</v>
      </c>
      <c r="DT77" s="8">
        <v>588.46</v>
      </c>
      <c r="DU77" s="8">
        <v>155.54</v>
      </c>
      <c r="DV77" s="8">
        <v>0</v>
      </c>
      <c r="DW77" s="6">
        <f t="shared" si="420"/>
        <v>0</v>
      </c>
      <c r="DX77" s="8">
        <v>0</v>
      </c>
      <c r="DY77" s="6">
        <f t="shared" si="421"/>
        <v>0</v>
      </c>
      <c r="DZ77" s="6">
        <v>0</v>
      </c>
      <c r="EA77" s="6">
        <f t="shared" si="1108"/>
        <v>0</v>
      </c>
      <c r="EB77" s="8">
        <v>0</v>
      </c>
      <c r="EC77" s="6">
        <f t="shared" si="1068"/>
        <v>100</v>
      </c>
      <c r="ED77" s="6">
        <f t="shared" si="467"/>
        <v>100</v>
      </c>
      <c r="EE77" s="18">
        <f t="shared" si="468"/>
        <v>0</v>
      </c>
      <c r="EF77" s="6">
        <f t="shared" si="1069"/>
        <v>87.826162634408604</v>
      </c>
      <c r="EG77" s="6">
        <f t="shared" si="1070"/>
        <v>744</v>
      </c>
      <c r="EH77" s="85">
        <v>13068.532999999999</v>
      </c>
      <c r="EI77" s="8">
        <v>20</v>
      </c>
      <c r="EL77" s="37" t="s">
        <v>72</v>
      </c>
      <c r="EM77" s="6">
        <f t="shared" si="1071"/>
        <v>672</v>
      </c>
      <c r="EN77" s="8">
        <v>214.73</v>
      </c>
      <c r="EO77" s="8">
        <v>457.27</v>
      </c>
      <c r="EP77" s="8">
        <v>0</v>
      </c>
      <c r="EQ77" s="6">
        <f t="shared" si="424"/>
        <v>0</v>
      </c>
      <c r="ER77" s="8">
        <v>0</v>
      </c>
      <c r="ES77" s="6">
        <f t="shared" si="425"/>
        <v>0</v>
      </c>
      <c r="ET77" s="6">
        <v>0</v>
      </c>
      <c r="EU77" s="6">
        <f t="shared" si="1109"/>
        <v>0</v>
      </c>
      <c r="EV77" s="8">
        <v>0</v>
      </c>
      <c r="EW77" s="6">
        <f t="shared" si="1073"/>
        <v>90.322580645161281</v>
      </c>
      <c r="EX77" s="6">
        <f t="shared" si="469"/>
        <v>100</v>
      </c>
      <c r="EY77" s="18">
        <f t="shared" si="470"/>
        <v>0</v>
      </c>
      <c r="EZ77" s="6">
        <f t="shared" si="1074"/>
        <v>34.282938988095239</v>
      </c>
      <c r="FA77" s="6">
        <f t="shared" si="1075"/>
        <v>672</v>
      </c>
      <c r="FB77" s="43">
        <v>4607.6270000000004</v>
      </c>
      <c r="FC77" s="8">
        <v>20</v>
      </c>
      <c r="FF77" s="37" t="s">
        <v>72</v>
      </c>
      <c r="FG77" s="6">
        <f t="shared" si="1076"/>
        <v>744</v>
      </c>
      <c r="FH77" s="8">
        <v>558.9</v>
      </c>
      <c r="FI77" s="8">
        <v>185.1</v>
      </c>
      <c r="FJ77" s="8">
        <v>0</v>
      </c>
      <c r="FK77" s="6">
        <f t="shared" si="439"/>
        <v>0</v>
      </c>
      <c r="FL77" s="8">
        <v>0</v>
      </c>
      <c r="FM77" s="6">
        <f t="shared" si="440"/>
        <v>0</v>
      </c>
      <c r="FN77" s="6">
        <v>0</v>
      </c>
      <c r="FO77" s="6">
        <f t="shared" si="1077"/>
        <v>0</v>
      </c>
      <c r="FP77" s="8">
        <v>0</v>
      </c>
      <c r="FQ77" s="6">
        <f t="shared" si="1078"/>
        <v>100</v>
      </c>
      <c r="FR77" s="6">
        <f t="shared" si="473"/>
        <v>100</v>
      </c>
      <c r="FS77" s="18">
        <f t="shared" si="474"/>
        <v>0</v>
      </c>
      <c r="FT77" s="6">
        <f t="shared" si="1079"/>
        <v>82.488508064516125</v>
      </c>
      <c r="FU77" s="6">
        <f t="shared" si="1080"/>
        <v>744</v>
      </c>
      <c r="FV77" s="43">
        <v>12274.29</v>
      </c>
      <c r="FW77" s="8">
        <v>20</v>
      </c>
      <c r="FZ77" s="37" t="s">
        <v>72</v>
      </c>
      <c r="GA77" s="6">
        <f t="shared" si="1081"/>
        <v>720</v>
      </c>
      <c r="GB77" s="8">
        <v>580.96</v>
      </c>
      <c r="GC77" s="8">
        <v>139.04</v>
      </c>
      <c r="GD77" s="8">
        <v>0</v>
      </c>
      <c r="GE77" s="6">
        <f t="shared" si="1082"/>
        <v>0</v>
      </c>
      <c r="GF77" s="8">
        <v>0</v>
      </c>
      <c r="GG77" s="6">
        <f t="shared" si="1111"/>
        <v>0</v>
      </c>
      <c r="GH77" s="6">
        <v>0</v>
      </c>
      <c r="GI77" s="6">
        <f t="shared" si="1083"/>
        <v>0</v>
      </c>
      <c r="GJ77" s="8">
        <v>0</v>
      </c>
      <c r="GK77" s="6">
        <f t="shared" si="1084"/>
        <v>96.774193548387103</v>
      </c>
      <c r="GL77" s="6">
        <f t="shared" si="1112"/>
        <v>100</v>
      </c>
      <c r="GM77" s="18">
        <f t="shared" si="1120"/>
        <v>0</v>
      </c>
      <c r="GN77" s="6">
        <f t="shared" si="1086"/>
        <v>86.204722222222216</v>
      </c>
      <c r="GO77" s="6">
        <f t="shared" si="1087"/>
        <v>720</v>
      </c>
      <c r="GP77" s="85">
        <v>12413.48</v>
      </c>
      <c r="GQ77" s="8">
        <v>20</v>
      </c>
      <c r="GT77" s="37" t="s">
        <v>72</v>
      </c>
      <c r="GU77" s="8">
        <f t="shared" si="1088"/>
        <v>715.95</v>
      </c>
      <c r="GV77" s="8">
        <v>497.72</v>
      </c>
      <c r="GW77" s="52">
        <v>218.23</v>
      </c>
      <c r="GX77" s="8">
        <v>28.05</v>
      </c>
      <c r="GY77" s="6">
        <f t="shared" si="559"/>
        <v>3.770161290322581</v>
      </c>
      <c r="GZ77" s="8">
        <v>0</v>
      </c>
      <c r="HA77" s="8">
        <f t="shared" si="560"/>
        <v>0</v>
      </c>
      <c r="HB77" s="8">
        <v>0</v>
      </c>
      <c r="HC77" s="6">
        <f t="shared" si="1089"/>
        <v>0</v>
      </c>
      <c r="HD77" s="8">
        <v>0</v>
      </c>
      <c r="HE77" s="6">
        <f t="shared" si="1090"/>
        <v>96.229838709677423</v>
      </c>
      <c r="HF77" s="6">
        <f t="shared" si="1091"/>
        <v>96.229838709677423</v>
      </c>
      <c r="HG77" s="6">
        <f t="shared" si="397"/>
        <v>5.3350324286284883</v>
      </c>
      <c r="HH77" s="6">
        <f t="shared" si="1092"/>
        <v>68.911357526881716</v>
      </c>
      <c r="HI77" s="6">
        <f t="shared" si="1093"/>
        <v>744</v>
      </c>
      <c r="HJ77" s="85">
        <v>10254.01</v>
      </c>
      <c r="HK77" s="8">
        <v>20</v>
      </c>
      <c r="HN77" s="37" t="s">
        <v>72</v>
      </c>
      <c r="HO77" s="49">
        <f t="shared" si="1094"/>
        <v>720</v>
      </c>
      <c r="HP77" s="49">
        <v>511.78</v>
      </c>
      <c r="HQ77" s="8">
        <v>208.22000000000003</v>
      </c>
      <c r="HR77" s="49">
        <v>0</v>
      </c>
      <c r="HS77" s="8">
        <f t="shared" si="1095"/>
        <v>0</v>
      </c>
      <c r="HT77" s="8">
        <v>0</v>
      </c>
      <c r="HU77" s="8">
        <f t="shared" si="1096"/>
        <v>0</v>
      </c>
      <c r="HV77" s="8">
        <v>0</v>
      </c>
      <c r="HW77" s="8">
        <f t="shared" si="1096"/>
        <v>0</v>
      </c>
      <c r="HX77" s="8">
        <v>0</v>
      </c>
      <c r="HY77" s="6">
        <f t="shared" si="1121"/>
        <v>100</v>
      </c>
      <c r="HZ77" s="6">
        <f t="shared" si="1122"/>
        <v>100</v>
      </c>
      <c r="IA77" s="18">
        <f t="shared" si="1099"/>
        <v>0</v>
      </c>
      <c r="IB77" s="6">
        <f t="shared" si="1123"/>
        <v>72.659833333333339</v>
      </c>
      <c r="IC77" s="6">
        <f t="shared" si="1101"/>
        <v>720</v>
      </c>
      <c r="ID77" s="92">
        <v>10463.016</v>
      </c>
      <c r="IE77" s="8">
        <v>20</v>
      </c>
      <c r="IF77" s="15">
        <v>20</v>
      </c>
    </row>
    <row r="78" spans="1:240" ht="14.25" x14ac:dyDescent="0.2">
      <c r="B78" s="37" t="s">
        <v>73</v>
      </c>
      <c r="C78" s="8">
        <f t="shared" si="1026"/>
        <v>744</v>
      </c>
      <c r="D78" s="8">
        <v>621</v>
      </c>
      <c r="E78" s="8">
        <v>123</v>
      </c>
      <c r="F78" s="8">
        <v>0</v>
      </c>
      <c r="G78" s="8">
        <f t="shared" si="339"/>
        <v>0</v>
      </c>
      <c r="H78" s="8">
        <v>0</v>
      </c>
      <c r="I78" s="8">
        <f t="shared" si="340"/>
        <v>0</v>
      </c>
      <c r="J78" s="8">
        <v>0</v>
      </c>
      <c r="K78" s="6">
        <f t="shared" si="1027"/>
        <v>0</v>
      </c>
      <c r="L78" s="8">
        <v>0</v>
      </c>
      <c r="M78" s="6">
        <f t="shared" si="1119"/>
        <v>100</v>
      </c>
      <c r="N78" s="8">
        <f t="shared" si="525"/>
        <v>100</v>
      </c>
      <c r="O78" s="8">
        <f t="shared" si="1029"/>
        <v>0</v>
      </c>
      <c r="P78" s="6">
        <f t="shared" si="1030"/>
        <v>78.564086021505375</v>
      </c>
      <c r="Q78" s="6">
        <f t="shared" si="1031"/>
        <v>744</v>
      </c>
      <c r="R78" s="85">
        <v>11690.335999999999</v>
      </c>
      <c r="S78" s="8">
        <v>20</v>
      </c>
      <c r="V78" s="37" t="s">
        <v>73</v>
      </c>
      <c r="W78" s="8">
        <f t="shared" si="1032"/>
        <v>744</v>
      </c>
      <c r="X78" s="8">
        <v>649</v>
      </c>
      <c r="Y78" s="8">
        <v>95</v>
      </c>
      <c r="Z78" s="8">
        <v>0</v>
      </c>
      <c r="AA78" s="8">
        <f t="shared" si="1033"/>
        <v>0</v>
      </c>
      <c r="AB78" s="8">
        <v>0</v>
      </c>
      <c r="AC78" s="8">
        <f t="shared" si="1033"/>
        <v>0</v>
      </c>
      <c r="AD78" s="8">
        <v>0</v>
      </c>
      <c r="AE78" s="8">
        <f t="shared" si="1033"/>
        <v>0</v>
      </c>
      <c r="AF78" s="8">
        <v>0</v>
      </c>
      <c r="AG78" s="6">
        <f t="shared" si="1034"/>
        <v>100</v>
      </c>
      <c r="AH78" s="8">
        <f t="shared" si="1035"/>
        <v>100</v>
      </c>
      <c r="AI78" s="8">
        <f t="shared" si="1036"/>
        <v>0</v>
      </c>
      <c r="AJ78" s="6">
        <f t="shared" si="1037"/>
        <v>87.074106182795703</v>
      </c>
      <c r="AK78" s="6">
        <f t="shared" si="1038"/>
        <v>744</v>
      </c>
      <c r="AL78" s="85">
        <v>12956.627</v>
      </c>
      <c r="AM78" s="8">
        <v>20</v>
      </c>
      <c r="AP78" s="37" t="s">
        <v>73</v>
      </c>
      <c r="AQ78" s="8">
        <f t="shared" si="1039"/>
        <v>720</v>
      </c>
      <c r="AR78" s="8">
        <v>558</v>
      </c>
      <c r="AS78" s="17">
        <f>720-AR78</f>
        <v>162</v>
      </c>
      <c r="AT78" s="8">
        <v>0</v>
      </c>
      <c r="AU78" s="8">
        <f t="shared" si="1041"/>
        <v>0</v>
      </c>
      <c r="AV78" s="8">
        <v>0</v>
      </c>
      <c r="AW78" s="8">
        <f t="shared" si="1042"/>
        <v>0</v>
      </c>
      <c r="AX78" s="8">
        <v>0</v>
      </c>
      <c r="AY78" s="8">
        <f t="shared" si="1043"/>
        <v>0</v>
      </c>
      <c r="AZ78" s="8">
        <v>0</v>
      </c>
      <c r="BA78" s="6">
        <f t="shared" si="1044"/>
        <v>100</v>
      </c>
      <c r="BB78" s="8">
        <f t="shared" si="1045"/>
        <v>100</v>
      </c>
      <c r="BC78" s="8">
        <f t="shared" si="1046"/>
        <v>0</v>
      </c>
      <c r="BD78" s="6">
        <f t="shared" si="1118"/>
        <v>77.916756944444458</v>
      </c>
      <c r="BE78" s="6">
        <f t="shared" si="1048"/>
        <v>720</v>
      </c>
      <c r="BF78" s="93">
        <v>11220.013000000001</v>
      </c>
      <c r="BG78" s="8">
        <v>20</v>
      </c>
      <c r="BJ78" s="37" t="s">
        <v>73</v>
      </c>
      <c r="BK78" s="6">
        <f t="shared" si="1049"/>
        <v>744</v>
      </c>
      <c r="BL78" s="8">
        <v>635</v>
      </c>
      <c r="BM78" s="17">
        <f>744-BL78</f>
        <v>109</v>
      </c>
      <c r="BN78" s="8">
        <v>0</v>
      </c>
      <c r="BO78" s="6">
        <f t="shared" si="1020"/>
        <v>0</v>
      </c>
      <c r="BP78" s="8">
        <v>0</v>
      </c>
      <c r="BQ78" s="6">
        <f t="shared" si="1020"/>
        <v>0</v>
      </c>
      <c r="BR78" s="6">
        <v>0</v>
      </c>
      <c r="BS78" s="6">
        <f t="shared" si="1051"/>
        <v>0</v>
      </c>
      <c r="BT78" s="8">
        <v>0</v>
      </c>
      <c r="BU78" s="6">
        <f t="shared" si="1052"/>
        <v>100</v>
      </c>
      <c r="BV78" s="6">
        <f t="shared" si="898"/>
        <v>100</v>
      </c>
      <c r="BW78" s="18">
        <f t="shared" si="899"/>
        <v>0</v>
      </c>
      <c r="BX78" s="6">
        <f t="shared" si="1053"/>
        <v>87.558400537634412</v>
      </c>
      <c r="BY78" s="6">
        <f t="shared" si="1054"/>
        <v>744</v>
      </c>
      <c r="BZ78" s="43">
        <v>13028.69</v>
      </c>
      <c r="CA78" s="8">
        <v>20</v>
      </c>
      <c r="CD78" s="37" t="s">
        <v>73</v>
      </c>
      <c r="CE78" s="6">
        <f t="shared" si="1055"/>
        <v>720</v>
      </c>
      <c r="CF78" s="8">
        <v>615.09</v>
      </c>
      <c r="CG78" s="6">
        <v>104.90999999999997</v>
      </c>
      <c r="CH78" s="8">
        <v>0</v>
      </c>
      <c r="CI78" s="6">
        <f t="shared" si="1103"/>
        <v>0</v>
      </c>
      <c r="CJ78" s="8">
        <v>0</v>
      </c>
      <c r="CK78" s="6">
        <f t="shared" si="1110"/>
        <v>0</v>
      </c>
      <c r="CL78" s="6">
        <v>0</v>
      </c>
      <c r="CM78" s="6">
        <f t="shared" si="1056"/>
        <v>0</v>
      </c>
      <c r="CN78" s="8">
        <v>0</v>
      </c>
      <c r="CO78" s="6">
        <f t="shared" si="1057"/>
        <v>100</v>
      </c>
      <c r="CP78" s="6">
        <f t="shared" si="1023"/>
        <v>100</v>
      </c>
      <c r="CQ78" s="18">
        <f t="shared" si="1104"/>
        <v>0</v>
      </c>
      <c r="CR78" s="6">
        <f t="shared" si="1059"/>
        <v>87.096326388888883</v>
      </c>
      <c r="CS78" s="6">
        <f t="shared" si="1060"/>
        <v>720</v>
      </c>
      <c r="CT78" s="43">
        <v>12541.870999999999</v>
      </c>
      <c r="CU78" s="8">
        <v>20</v>
      </c>
      <c r="CV78" s="6"/>
      <c r="CX78" s="37" t="s">
        <v>73</v>
      </c>
      <c r="CY78" s="6">
        <f t="shared" si="1061"/>
        <v>649</v>
      </c>
      <c r="CZ78" s="8">
        <v>539.86</v>
      </c>
      <c r="DA78" s="8">
        <v>109.13999999999999</v>
      </c>
      <c r="DB78" s="8">
        <v>6.41</v>
      </c>
      <c r="DC78" s="6">
        <f t="shared" si="416"/>
        <v>0.86155913978494625</v>
      </c>
      <c r="DD78" s="8">
        <v>0</v>
      </c>
      <c r="DE78" s="6">
        <f t="shared" si="417"/>
        <v>0</v>
      </c>
      <c r="DF78" s="91">
        <v>88.59</v>
      </c>
      <c r="DG78" s="6">
        <f t="shared" si="1107"/>
        <v>11.90725806451613</v>
      </c>
      <c r="DH78" s="8">
        <v>0</v>
      </c>
      <c r="DI78" s="6">
        <f t="shared" si="1063"/>
        <v>87.231182795698928</v>
      </c>
      <c r="DJ78" s="6">
        <f t="shared" si="464"/>
        <v>87.231182795698928</v>
      </c>
      <c r="DK78" s="18">
        <f t="shared" si="465"/>
        <v>1.1734124151060832</v>
      </c>
      <c r="DL78" s="6">
        <f t="shared" si="1064"/>
        <v>74.260255376344091</v>
      </c>
      <c r="DM78" s="6">
        <f t="shared" si="1065"/>
        <v>744</v>
      </c>
      <c r="DN78" s="43">
        <v>11049.925999999999</v>
      </c>
      <c r="DO78" s="8">
        <v>20</v>
      </c>
      <c r="DR78" s="37" t="s">
        <v>73</v>
      </c>
      <c r="DS78" s="6">
        <f t="shared" si="1066"/>
        <v>689.89</v>
      </c>
      <c r="DT78" s="8">
        <v>539.84</v>
      </c>
      <c r="DU78" s="8">
        <v>150.05000000000001</v>
      </c>
      <c r="DV78" s="8">
        <v>27.73</v>
      </c>
      <c r="DW78" s="6">
        <f t="shared" si="420"/>
        <v>3.7271505376344085</v>
      </c>
      <c r="DX78" s="8">
        <v>26.38</v>
      </c>
      <c r="DY78" s="6">
        <f t="shared" si="421"/>
        <v>3.5456989247311825</v>
      </c>
      <c r="DZ78" s="6">
        <v>0</v>
      </c>
      <c r="EA78" s="6">
        <f t="shared" si="1108"/>
        <v>0</v>
      </c>
      <c r="EB78" s="8">
        <v>0</v>
      </c>
      <c r="EC78" s="6">
        <f t="shared" si="1068"/>
        <v>92.727150537634401</v>
      </c>
      <c r="ED78" s="6">
        <f t="shared" si="467"/>
        <v>92.727150537634401</v>
      </c>
      <c r="EE78" s="18">
        <f t="shared" si="468"/>
        <v>4.885740965872051</v>
      </c>
      <c r="EF78" s="6">
        <f t="shared" si="1069"/>
        <v>72.925873655913989</v>
      </c>
      <c r="EG78" s="6">
        <f t="shared" si="1070"/>
        <v>744.00000000000011</v>
      </c>
      <c r="EH78" s="85">
        <v>10851.37</v>
      </c>
      <c r="EI78" s="8">
        <v>20</v>
      </c>
      <c r="EL78" s="37" t="s">
        <v>73</v>
      </c>
      <c r="EM78" s="6">
        <f t="shared" si="1071"/>
        <v>672</v>
      </c>
      <c r="EN78" s="8">
        <v>215.15</v>
      </c>
      <c r="EO78" s="8">
        <v>456.85</v>
      </c>
      <c r="EP78" s="8">
        <v>0</v>
      </c>
      <c r="EQ78" s="6">
        <f t="shared" si="424"/>
        <v>0</v>
      </c>
      <c r="ER78" s="8">
        <v>0</v>
      </c>
      <c r="ES78" s="6">
        <f t="shared" si="425"/>
        <v>0</v>
      </c>
      <c r="ET78" s="6">
        <v>0</v>
      </c>
      <c r="EU78" s="6">
        <f t="shared" si="1109"/>
        <v>0</v>
      </c>
      <c r="EV78" s="8">
        <v>0</v>
      </c>
      <c r="EW78" s="6">
        <f t="shared" si="1073"/>
        <v>90.322580645161281</v>
      </c>
      <c r="EX78" s="6">
        <f t="shared" si="469"/>
        <v>100</v>
      </c>
      <c r="EY78" s="18">
        <f t="shared" si="470"/>
        <v>0</v>
      </c>
      <c r="EZ78" s="6">
        <f t="shared" si="1074"/>
        <v>31.823102678571423</v>
      </c>
      <c r="FA78" s="6">
        <f t="shared" si="1075"/>
        <v>672</v>
      </c>
      <c r="FB78" s="43">
        <v>4277.0249999999996</v>
      </c>
      <c r="FC78" s="8">
        <v>20</v>
      </c>
      <c r="FF78" s="37" t="s">
        <v>73</v>
      </c>
      <c r="FG78" s="6">
        <f t="shared" si="1076"/>
        <v>532.22</v>
      </c>
      <c r="FH78" s="8">
        <v>355.12</v>
      </c>
      <c r="FI78" s="8">
        <v>177.1</v>
      </c>
      <c r="FJ78" s="8">
        <v>211.78</v>
      </c>
      <c r="FK78" s="6">
        <f t="shared" si="439"/>
        <v>28.465053763440864</v>
      </c>
      <c r="FL78" s="8">
        <v>0</v>
      </c>
      <c r="FM78" s="6">
        <f t="shared" si="440"/>
        <v>0</v>
      </c>
      <c r="FN78" s="6">
        <v>0</v>
      </c>
      <c r="FO78" s="6">
        <f t="shared" si="1077"/>
        <v>0</v>
      </c>
      <c r="FP78" s="8">
        <v>0</v>
      </c>
      <c r="FQ78" s="6">
        <f t="shared" si="1078"/>
        <v>71.534946236559136</v>
      </c>
      <c r="FR78" s="6">
        <f t="shared" si="473"/>
        <v>71.534946236559136</v>
      </c>
      <c r="FS78" s="18">
        <f t="shared" si="474"/>
        <v>37.357558652319632</v>
      </c>
      <c r="FT78" s="6">
        <f t="shared" si="1079"/>
        <v>48.138991935483872</v>
      </c>
      <c r="FU78" s="6">
        <f t="shared" si="1080"/>
        <v>744</v>
      </c>
      <c r="FV78" s="43">
        <v>7163.0820000000003</v>
      </c>
      <c r="FW78" s="8">
        <v>20</v>
      </c>
      <c r="FZ78" s="37" t="s">
        <v>73</v>
      </c>
      <c r="GA78" s="6">
        <f t="shared" si="1081"/>
        <v>506.2</v>
      </c>
      <c r="GB78" s="8">
        <v>394.87</v>
      </c>
      <c r="GC78" s="8">
        <v>111.33</v>
      </c>
      <c r="GD78" s="8">
        <v>213.8</v>
      </c>
      <c r="GE78" s="6">
        <f t="shared" si="1082"/>
        <v>0.29694444444444446</v>
      </c>
      <c r="GF78" s="8">
        <v>0</v>
      </c>
      <c r="GG78" s="6">
        <f t="shared" si="1111"/>
        <v>0</v>
      </c>
      <c r="GH78" s="6">
        <v>0</v>
      </c>
      <c r="GI78" s="6">
        <f t="shared" si="1083"/>
        <v>0</v>
      </c>
      <c r="GJ78" s="8">
        <v>0</v>
      </c>
      <c r="GK78" s="6">
        <f t="shared" si="1084"/>
        <v>68.037634408602159</v>
      </c>
      <c r="GL78" s="6">
        <f t="shared" si="1112"/>
        <v>70.305555555555557</v>
      </c>
      <c r="GM78" s="18">
        <f t="shared" si="1120"/>
        <v>35.12576601442489</v>
      </c>
      <c r="GN78" s="6">
        <f t="shared" si="1086"/>
        <v>56.231319444444452</v>
      </c>
      <c r="GO78" s="6">
        <f t="shared" si="1087"/>
        <v>720</v>
      </c>
      <c r="GP78" s="85">
        <v>8097.31</v>
      </c>
      <c r="GQ78" s="8">
        <v>20</v>
      </c>
      <c r="GT78" s="37" t="s">
        <v>73</v>
      </c>
      <c r="GU78" s="8">
        <f t="shared" si="1088"/>
        <v>741.89</v>
      </c>
      <c r="GV78" s="8">
        <v>505.16</v>
      </c>
      <c r="GW78" s="52">
        <v>236.73</v>
      </c>
      <c r="GX78" s="8">
        <v>2.11</v>
      </c>
      <c r="GY78" s="6">
        <f t="shared" si="559"/>
        <v>0.28360215053763438</v>
      </c>
      <c r="GZ78" s="8">
        <v>0</v>
      </c>
      <c r="HA78" s="8">
        <f t="shared" si="560"/>
        <v>0</v>
      </c>
      <c r="HB78" s="8">
        <v>0</v>
      </c>
      <c r="HC78" s="6">
        <f t="shared" si="1089"/>
        <v>0</v>
      </c>
      <c r="HD78" s="8">
        <v>0</v>
      </c>
      <c r="HE78" s="6">
        <f t="shared" si="1090"/>
        <v>99.716397849462368</v>
      </c>
      <c r="HF78" s="6">
        <f t="shared" si="1091"/>
        <v>99.716397849462368</v>
      </c>
      <c r="HG78" s="6">
        <f t="shared" si="397"/>
        <v>0.41595205708991267</v>
      </c>
      <c r="HH78" s="6">
        <f t="shared" si="1092"/>
        <v>66.485551075268816</v>
      </c>
      <c r="HI78" s="6">
        <f t="shared" si="1093"/>
        <v>744</v>
      </c>
      <c r="HJ78" s="85">
        <v>9893.0499999999993</v>
      </c>
      <c r="HK78" s="8">
        <v>20</v>
      </c>
      <c r="HN78" s="37" t="s">
        <v>73</v>
      </c>
      <c r="HO78" s="49">
        <f t="shared" si="1094"/>
        <v>301.63</v>
      </c>
      <c r="HP78" s="49">
        <v>236.28</v>
      </c>
      <c r="HQ78" s="8">
        <v>65.349999999999994</v>
      </c>
      <c r="HR78" s="49">
        <v>418.37</v>
      </c>
      <c r="HS78" s="6">
        <f t="shared" si="1095"/>
        <v>58.106944444444444</v>
      </c>
      <c r="HT78" s="8">
        <v>0</v>
      </c>
      <c r="HU78" s="8">
        <f t="shared" si="1096"/>
        <v>0</v>
      </c>
      <c r="HV78" s="8">
        <v>0</v>
      </c>
      <c r="HW78" s="8">
        <f t="shared" si="1096"/>
        <v>0</v>
      </c>
      <c r="HX78" s="8">
        <v>0</v>
      </c>
      <c r="HY78" s="6">
        <f t="shared" si="1121"/>
        <v>41.893055555555556</v>
      </c>
      <c r="HZ78" s="6">
        <f t="shared" si="1122"/>
        <v>41.893055555555556</v>
      </c>
      <c r="IA78" s="18">
        <f t="shared" si="1099"/>
        <v>63.907431451920885</v>
      </c>
      <c r="IB78" s="6">
        <f t="shared" si="1123"/>
        <v>32.002902777777777</v>
      </c>
      <c r="IC78" s="6">
        <f t="shared" si="1101"/>
        <v>720</v>
      </c>
      <c r="ID78" s="92">
        <v>4608.4179999999997</v>
      </c>
      <c r="IE78" s="8">
        <v>20</v>
      </c>
      <c r="IF78" s="15">
        <v>20</v>
      </c>
    </row>
    <row r="79" spans="1:240" ht="15" x14ac:dyDescent="0.25">
      <c r="B79" s="95" t="s">
        <v>39</v>
      </c>
      <c r="C79" s="25">
        <f>SUM(C65:C78)</f>
        <v>9672</v>
      </c>
      <c r="D79" s="25">
        <f>SUM(D65:D78)</f>
        <v>7972</v>
      </c>
      <c r="E79" s="25">
        <f>SUM(E65:E78)</f>
        <v>1700</v>
      </c>
      <c r="F79" s="25">
        <f>SUM(F65:F78)</f>
        <v>0</v>
      </c>
      <c r="G79" s="26">
        <f>(G65*S65+G66*S66+G67*S67+G68*S68+G69*S69+G70*S70+G71*S71+G72*S72+G73*S73+G74*S74+G75*S75+G76*S76+G77*S77+G78*S78)/S79</f>
        <v>0</v>
      </c>
      <c r="H79" s="25">
        <f>SUM(H65:H78)</f>
        <v>744</v>
      </c>
      <c r="I79" s="26">
        <f>(I65*S65+I66*S66+I67*S67+I68*S68+I69*S69+I70*S70+I71*S71+I72*S72+I73*S73+I74*S74+I75*S75+I76*S76+I77*S77+I78*S78)/S79</f>
        <v>7.3529411764705879</v>
      </c>
      <c r="J79" s="26">
        <f>SUM(J65:J78)</f>
        <v>0</v>
      </c>
      <c r="K79" s="26">
        <f>(K65*S65+K66*S66+K67*S67+K68*S68+K69*S69+K70*S70+K71*S71+K72*S72+K73*S73+K74*S74+K75*S75+K76*S76+K77*S77+K78*S78)/S79</f>
        <v>0</v>
      </c>
      <c r="L79" s="25">
        <f>SUM(L65:L78)</f>
        <v>0</v>
      </c>
      <c r="M79" s="26">
        <f>(M65*S65+M66*S66+M67*S67+M68*S68+M69*S69+M70*S70+M71*S71+M72*S72+M73*S73+M74*S74+M75*S75+M76*S76+M77*S77+M78*S78)/S79</f>
        <v>92.647058823529406</v>
      </c>
      <c r="N79" s="7">
        <f>(N65*S65+N66*S66+N67*S67+N68*S68+N69*S69+N70*S70+N71*S71+N72*S72+N73*S73+N74*S74+N75*S75+N76*S76+N77*S77+N78*S78)/S79</f>
        <v>92.647058823529406</v>
      </c>
      <c r="O79" s="197">
        <f>(O65*S65+O66*S66+O67*S67+O68*S68+O69*S69+O70*S70+O71*S71+O72*S72+O73*S73+O74*S74+O75*S75+O76*S76+O77*S77+O78*S78)/S79</f>
        <v>0</v>
      </c>
      <c r="P79" s="7">
        <f>(P65*S65+P66*S66+P67*S67+P68*S68+P69*S69+P70*S70+P71*S71+P72*S72+P73*S73+P74*S74+P75*S75+P76*S76+P77*S77+P78*S78)/S79</f>
        <v>75.878211179633141</v>
      </c>
      <c r="Q79" s="30">
        <f>SUM(Q65:Q78)</f>
        <v>10416</v>
      </c>
      <c r="R79" s="96">
        <f>SUM(R65:R78)</f>
        <v>191941.52300000002</v>
      </c>
      <c r="S79" s="25">
        <f>SUM(S65:S78)</f>
        <v>340</v>
      </c>
      <c r="V79" s="87" t="s">
        <v>39</v>
      </c>
      <c r="W79" s="29">
        <f>SUM(W65:W78)</f>
        <v>10416</v>
      </c>
      <c r="X79" s="29">
        <f t="shared" ref="X79:AF79" si="1124">SUM(X65:X78)</f>
        <v>8185</v>
      </c>
      <c r="Y79" s="29">
        <f>SUM(Y65:Y78)</f>
        <v>2231</v>
      </c>
      <c r="Z79" s="29">
        <f t="shared" si="1124"/>
        <v>0</v>
      </c>
      <c r="AA79" s="30">
        <f>(AA65*AM65+AA66*AM66+AA67*AM67+AA68*AM68+AA69*AM69+AA70*AM70+AA71*AM71+AA72*AM72+AA73*AM73+AA74*AM74+AA75*AM75+AA76*AM76+AA77*AM77+AA78*AM78)/AM79</f>
        <v>0</v>
      </c>
      <c r="AB79" s="29">
        <f t="shared" si="1124"/>
        <v>0</v>
      </c>
      <c r="AC79" s="30">
        <f>(AC65*AM65+AC66*AM66+AC67*AM67+AC68*AM68+AC69*AM69+AC70*AM70+AC71*AM71+AC72*AM72+AC73*AM73+AC74*AM74+AC75*AM75+AC76*AM76+AC77*AM77+AC78*AM78)/AM79</f>
        <v>0</v>
      </c>
      <c r="AD79" s="30">
        <f>SUM(AD65:AD78)</f>
        <v>0</v>
      </c>
      <c r="AE79" s="30">
        <f>(AE65*AM65+AE66*AM66+AE67*AM67+AE68*AM68+AE69*AM69+AE70*AM70+AE71*AM71+AE72*AM72+AE73*AM73+AE74*AM74+AE75*AM75+AE76*AM76+AE77*AM77+AE78*AM78)/AM79</f>
        <v>0</v>
      </c>
      <c r="AF79" s="29">
        <f t="shared" si="1124"/>
        <v>0</v>
      </c>
      <c r="AG79" s="26">
        <f>(AG65*AM65+AG66*AM66+AG67*AM67+AG68*AM68+AG69*AM69+AG70*AM70+AG71*AM71+AG72*AM72+AG73*AM73+AG74*AM74+AG75*AM75+AG76*AM76+AG77*AM77+AG78*AM78)/AM79</f>
        <v>100</v>
      </c>
      <c r="AH79" s="7">
        <f>(AH65*AM65+AH66*AM66+AH67*AM67+AH68*AM68+AH69*AM69+AH70*AM70+AH71*AM71+AH72*AM72+AH73*AM73+AH74*AM74+AH75*AM75+AH76*AM76+AH77*AM77+AH78*AM78)/AM79</f>
        <v>100</v>
      </c>
      <c r="AI79" s="30">
        <f>(AI65*AM65+AI66*AM66+AI67*AM67+AI68*AM7+AI69*AM69+AI70*AM70+AI71*AM71+AI72*AM72+AI73*AM73+AI74*AM74+AI75*AM75+AI76*AM76+AI77*AM77+AI78*AM78)/AM79</f>
        <v>0</v>
      </c>
      <c r="AJ79" s="7">
        <f>(AJ65*AM65+AJ66*AM66+AJ67*AM67+AJ68*AM68+AJ69*AM69+AJ70*AM70+AJ71*AM71+AJ72*AM72+AJ73*AM73+AJ74*AM74+AJ75*AM75+AJ76*AM76+AJ77*AM77+AJ78*AM78)/AM79</f>
        <v>76.940119781783679</v>
      </c>
      <c r="AK79" s="30">
        <f>SUM(AK65:AK78)</f>
        <v>10416</v>
      </c>
      <c r="AL79" s="88">
        <f>SUM(AL65:AL78)</f>
        <v>194627.72700000001</v>
      </c>
      <c r="AM79" s="29">
        <f>SUM(AM65:AM78)</f>
        <v>340</v>
      </c>
      <c r="AP79" s="87" t="s">
        <v>39</v>
      </c>
      <c r="AQ79" s="25">
        <f>SUM(AQ65:AQ78)</f>
        <v>10080</v>
      </c>
      <c r="AR79" s="25">
        <f>SUM(AR65:AR78)</f>
        <v>8704</v>
      </c>
      <c r="AS79" s="25">
        <f>SUM(AS65:AS78)</f>
        <v>1376</v>
      </c>
      <c r="AT79" s="25">
        <f>SUM(AT65:AT78)</f>
        <v>0</v>
      </c>
      <c r="AU79" s="26">
        <f>(AU65*BG65+AU66*BG66+AU67*BG67+AU68*BG68+AU69*BG69+AU70*BG70+AU71*BG71+AU72*BG72+AU73*BG73+AU74*BG74+AU75*BG75+AU76*BG76+AU77*BG77+AU78*BG78)/BG79</f>
        <v>0</v>
      </c>
      <c r="AV79" s="25">
        <f>SUM(AV65:AV78)</f>
        <v>0</v>
      </c>
      <c r="AW79" s="26">
        <f>(AW65*BG65+AW66*BG66+AW67*BG67+AW68*BG68+AW69*BG69+AW70*BG70+AW71*BG71+AW72*BG72+AW73*BG73+AW74*BG74+AW75*BG75+AW76*BG76+AW77*BG77+AW78*BG78)/BG79</f>
        <v>0</v>
      </c>
      <c r="AX79" s="25">
        <f>SUM(AX65:AX78)</f>
        <v>0</v>
      </c>
      <c r="AY79" s="30">
        <f>(AY65*BG65+AY66*BG66+AY67*BG67+AY68*BG68+AY69*BG69+AY70*BG70+AY71*BG71+AY72*BG72+AY73*BG73+AY74*BG74+AY75*BG75+AY76*BG76+AY77*BG77+AY78*BG78)/BG79</f>
        <v>0</v>
      </c>
      <c r="AZ79" s="25">
        <f>SUM(AZ65:AZ78)</f>
        <v>0</v>
      </c>
      <c r="BA79" s="26">
        <f>(BA65*BG65+BA66*BG66+BA67*BG67+BA68*BG68+BA69*BG69+BA70*BG70+BA71*BG71+BA72*BG72+BA73*BG73+BA74*BG74+BA75*BG75+BA76*BG76+BA77*BG77+BA78*BG78)/BG79</f>
        <v>100</v>
      </c>
      <c r="BB79" s="7">
        <f>(BB65*BG65+BB66*BG66+BB67*BG67+BB68*BG68+BB69*BG69+BB70*BG70+BB71*BG71+BB72*BG72+BB73*BG73+BB74*BG74+BB75*BG75+BB76*BG76+BB77*BG77+BB78*BG78)/BG79</f>
        <v>100</v>
      </c>
      <c r="BC79" s="197">
        <f>(BC65*BG65+BC66*BG66+BC67*BG67+BC68*BG68+BC69*BG69+BC70*BG70+BC71*BG71+BC72*BG72+BC73*BG73+BC74*BG74+BC75*BG75+BC76*BG76+BC77*BG77+BC78*BG78)/BG79</f>
        <v>0</v>
      </c>
      <c r="BD79" s="7">
        <f>(BD65*BG65+BD66*BG66+BD67*BG67+BD68*BG68+BD69*BG69+BD70*BG70+BD71*BG71+BD72*BG72+BD73*BG73+BD74*BG74+BD75*BG75+BD76*BG76+BD77*BG77+BD78*BG78)/BG79</f>
        <v>85.798111928104561</v>
      </c>
      <c r="BE79" s="30">
        <f>SUM(BE65:BE78)</f>
        <v>10080</v>
      </c>
      <c r="BF79" s="97">
        <f>SUM(BF65:BF78)</f>
        <v>210033.77799999996</v>
      </c>
      <c r="BG79" s="29">
        <f>SUM(BG65:BG78)</f>
        <v>340</v>
      </c>
      <c r="BJ79" s="87" t="s">
        <v>39</v>
      </c>
      <c r="BK79" s="25">
        <f>SUM(BK65:BK78)</f>
        <v>10416</v>
      </c>
      <c r="BL79" s="25">
        <f>SUM(BL65:BL78)</f>
        <v>7927</v>
      </c>
      <c r="BM79" s="25">
        <f>SUM(BM65:BM78)</f>
        <v>2489</v>
      </c>
      <c r="BN79" s="25">
        <f>SUM(BN65:BN78)</f>
        <v>0</v>
      </c>
      <c r="BO79" s="26">
        <f>(BO65*CA65+BO66*CA66+BO67*CA67+BO68*CA68+BO69*CA69+BO70*CA70+BO71*CA71+BO72*CA72+BO73*CA73+BO74*CA74+BO75*CA75+BO76*CA76+BO77*CA77+BO78*CA78)/CA79</f>
        <v>0</v>
      </c>
      <c r="BP79" s="25">
        <f>SUM(BP65:BP78)</f>
        <v>0</v>
      </c>
      <c r="BQ79" s="26">
        <f>(BQ65*CA65+BQ66*CA66+BQ67*CA67+BQ68*CA68+BQ69*CA69+BQ70*CA70+BQ71*CA71+BQ72*CA72+BQ73*CA73+BQ74*CA74+BQ75*CA75+BQ76*CA76+BQ77*CA77+BQ78*CA78)/CA79</f>
        <v>0</v>
      </c>
      <c r="BR79" s="26">
        <f>SUM(BR65:BR78)</f>
        <v>0</v>
      </c>
      <c r="BS79" s="30">
        <f>(BS65*CA65+BS66*CA66+BS67*CA67+BS68*CA68+BS69*CA69+BS70*CA70+BS71*CA71+BS72*CA72+BS73*CA73+BS74*CA74+BS75*CA75+BS76*CA76+BS77*CA77+BS78*CA78)/CA79</f>
        <v>0</v>
      </c>
      <c r="BT79" s="25">
        <f>SUM(BT65:BT78)</f>
        <v>0</v>
      </c>
      <c r="BU79" s="26">
        <f>(BU65*CA65+BU66*CA66+BU67*CA67+BU68*CA68+BU69*CA69+BU70*CA70+BU71*CA71+BU72*CA72+BU73*CA73+BU74*CA74+BU75*CA75+BU76*CA76+BU77*CA77+BU78*CA78)/CA79</f>
        <v>100</v>
      </c>
      <c r="BV79" s="7">
        <f>(BV65*CA65+BV66*CA66+BV67*CA67+BV68*CA68+BV69*CA69+BV70*CA70+BV71*CA71+BV72*CA72+BV73*CA73+BV74*CA74+BV75*CA75+BV76*CA76+BV77*CA77+BV78*CA78)/CA79</f>
        <v>100</v>
      </c>
      <c r="BW79" s="197">
        <f>(BW65*CA65+BW66*CA66+BW67*CA67+BW68*CA68+BW69*CA69+BW70*CA70+BW71*CA71+BW72*CA72+BW73*CA73+BW74*CA74+BW75*CA75+BW76*CA76+BW77*CA77+BW78*CA78)/CA79</f>
        <v>0</v>
      </c>
      <c r="BX79" s="7">
        <f>(BX65*CA65+BX66*CA66+BX67*CA67+BX68*CA68+BX69*CA69+BX70*CA70+BX71*CA71+BX72*CA72+BX73*CA73+BX74*CA74+BX75*CA75+BX76*CA76+BX77*CA77+BX78*CA78)/CA79</f>
        <v>75.297378241619228</v>
      </c>
      <c r="BY79" s="30">
        <f>SUM(BY65:BY78)</f>
        <v>10416</v>
      </c>
      <c r="BZ79" s="45">
        <f>SUM(BZ65:BZ78)</f>
        <v>190472.24800000002</v>
      </c>
      <c r="CA79" s="29">
        <f>SUM(CA65:CA78)</f>
        <v>340</v>
      </c>
      <c r="CD79" s="87" t="s">
        <v>39</v>
      </c>
      <c r="CE79" s="25">
        <f>SUM(CE65:CE78)</f>
        <v>9118.8000000000011</v>
      </c>
      <c r="CF79" s="25">
        <f>SUM(CF65:CF78)</f>
        <v>7172.21</v>
      </c>
      <c r="CG79" s="26">
        <f>SUM(CG65:CG78)</f>
        <v>1946.5900000000001</v>
      </c>
      <c r="CH79" s="25">
        <f>SUM(CH65:CH78)</f>
        <v>842.02999999999986</v>
      </c>
      <c r="CI79" s="26">
        <f>(CI65*CU65+CI66*CU66+CI67*CU67+CI68*CU68+CI69*CU69+CI70*CU70+CI71*CU71+CI72*CU72+CI73*CU73+CI74*CU74+CI75*CU75+CI76*CU76+CI77*CU77+CI78*CU78)/CU79</f>
        <v>8.5988153594771237</v>
      </c>
      <c r="CJ79" s="25">
        <f>SUM(CJ65:CJ78)</f>
        <v>0</v>
      </c>
      <c r="CK79" s="26">
        <f>(CK65*CU65+CK66*CU66+CK67*CU67+CK68*CU68+CK69*CU69+CK70*CU70+CK71*CU71+CK72*CU72+CK73*CU73+CK74*CU74+CK75*CU75+CK76*CU76+CK77*CU77+CK78*CU78)/CU79</f>
        <v>0</v>
      </c>
      <c r="CL79" s="26">
        <f>SUM(CL65:CL78)</f>
        <v>119.17</v>
      </c>
      <c r="CM79" s="30">
        <f>(CM65*CU65+CM66*CU66+CM67*CU67+CM68*CU68+CM69*CU69+CM70*CU70+CM71*CU71+CM72*CU72+CM73*CU73+CM74*CU74+CM75*CU75+CM76*CU76+CM77*CU77+CM78*CU78)/CU79</f>
        <v>1.2170138888888888</v>
      </c>
      <c r="CN79" s="25">
        <f>SUM(CN65:CN78)</f>
        <v>0</v>
      </c>
      <c r="CO79" s="26">
        <f>(CO65*CU65+CO66*CU66+CO67*CU67+CO68*CU68+CO69*CU69+CO70*CU70+CO71*CU71+CO72*CU72+CO73*CU73+CO74*CU74+CO75*CU75+CO76*CU76+CO77*CU77+CO78*CU78)/CU79</f>
        <v>90.184170751633985</v>
      </c>
      <c r="CP79" s="7">
        <f>(CP65*CU65+CP66*CU66+CP67*CU67+CP68*CU68+CP69*CU69+CP70*CU70+CP71*CU71+CP72*CU72+CP73*CU73+CP74*CU74+CP75*CU75+CP76*CU76+CP77*CU77+CP78*CU78)/CU79</f>
        <v>90.184170751633985</v>
      </c>
      <c r="CQ79" s="7">
        <f>(CQ65*CU65+CQ66*CU66+CQ67*CU67+CQ68*CU68+CQ69*CU69+CQ70*CU70+CQ71*CU71+CQ72*CU72+CQ73*CU73+CQ74*CU74+CQ75*CU75+CQ76*CU76+CQ77*CU77+CQ78*CU78)/CU79</f>
        <v>10.408353449252061</v>
      </c>
      <c r="CR79" s="7">
        <f>(CR65*CU65+CR66*CU66+CR67*CU67+CR68*CU68+CR69*CU69+CR70*CU70+CR71*CU71+CR72*CU72+CR73*CU73+CR74*CU74+CR75*CU75+CR76*CU76+CR77*CU77+CR78*CU78)/CU79</f>
        <v>73.322558415032674</v>
      </c>
      <c r="CS79" s="30">
        <f>SUM(CS65:CS78)</f>
        <v>10080</v>
      </c>
      <c r="CT79" s="45">
        <f>SUM(CT65:CT78)</f>
        <v>179493.62300000002</v>
      </c>
      <c r="CU79" s="29">
        <f>SUM(CU65:CU78)</f>
        <v>340</v>
      </c>
      <c r="CX79" s="87" t="s">
        <v>39</v>
      </c>
      <c r="CY79" s="25">
        <f>SUM(CY65:CY78)</f>
        <v>8969.69</v>
      </c>
      <c r="CZ79" s="25">
        <f>SUM(CZ65:CZ78)</f>
        <v>7386.6999999999989</v>
      </c>
      <c r="DA79" s="25">
        <f>SUM(DA65:DA78)</f>
        <v>1582.9899999999998</v>
      </c>
      <c r="DB79" s="25">
        <f>SUM(DB65:DB78)</f>
        <v>816.93999999999994</v>
      </c>
      <c r="DC79" s="26">
        <f>(DC65*DO65+DC66*DO66+DC67*DO67+DC68*DO68+DC69*DO69+DC70*DO70+DC71*DO71+DC72*DO72+DC73*DO73+DC74*DO74+DC75*DO75+DC76*DO76+DC77*DO77+DC78*DO78)/DO79</f>
        <v>8.0611361480075896</v>
      </c>
      <c r="DD79" s="25">
        <f>SUM(DD65:DD78)</f>
        <v>0</v>
      </c>
      <c r="DE79" s="26">
        <f>(DE65*DO65+DE66*DO66+DE67*DO67+DE68*DO68+DE69*DO69+DE70*DO70+DE71*DO71+DE72*DO72+DE73*DO73+DE74*DO74+DE75*DO75+DE76*DO76+DE77*DO77+DE78*DO78)/DO79</f>
        <v>0</v>
      </c>
      <c r="DF79" s="26">
        <f>SUM(DF65:DF78)</f>
        <v>629.37</v>
      </c>
      <c r="DG79" s="30">
        <f>(DG65*DO65+DG66*DO66+DG67*DO67+DG68*DO68+DG69*DO69+DG70*DO70+DG71*DO71+DG72*DO72+DG73*DO73+DG74*DO74+DG75*DO75+DG76*DO76+DG77*DO77+DG78*DO78)/DO79</f>
        <v>5.856222327640733</v>
      </c>
      <c r="DH79" s="25">
        <f>SUM(DH65:DH78)</f>
        <v>0</v>
      </c>
      <c r="DI79" s="26">
        <f>(DI65*DO65+DI66*DO66+DI67*DO67+DI68*DO68+DI69*DO69+DI70*DO70+DI71*DO71+DI72*DO72+DI73*DO73+DI74*DO74+DI75*DO75+DI76*DO76+DI77*DO77+DI78*DO78)/DO79</f>
        <v>86.082641524351672</v>
      </c>
      <c r="DJ79" s="7">
        <f>(DJ65*DO65+DJ66*DO66+DJ67*DO67+DJ68*DO68+DJ69*DO69+DJ70*DO70+DJ71*DO71+DJ72*DO72+DJ73*DO73+DJ74*DO74+DJ75*DO75+DJ76*DO76+DJ77*DO77+DJ78*DO78)/DO79</f>
        <v>86.082641524351672</v>
      </c>
      <c r="DK79" s="7">
        <f>(DK65*DO65+DK66*DO66+DK67*DO67+DK68*DO68+DK69*DO69+DK70*DO70+DK71*DO71+DK72*DO72+DK73*DO73+DK74*DO74+DK75*DO75+DK76*DO76+DK77*DO77+DK78*DO78)/DO79</f>
        <v>8.2545825812063391</v>
      </c>
      <c r="DL79" s="7">
        <f>(DL65*DO65+DL66*DO66+DL67*DO67+DL68*DO68+DL69*DO69+DL70*DO70+DL71*DO71+DL72*DO72+DL73*DO73+DL74*DO74+DL75*DO75+DL76*DO76+DL77*DO77+DL78*DO78)/DO79</f>
        <v>72.790311907020865</v>
      </c>
      <c r="DM79" s="30">
        <f>SUM(DM65:DM78)</f>
        <v>10416</v>
      </c>
      <c r="DN79" s="45">
        <f>SUM(DN65:DN78)</f>
        <v>184130.37300000002</v>
      </c>
      <c r="DO79" s="29">
        <f>SUM(DO65:DO78)</f>
        <v>340</v>
      </c>
      <c r="DR79" s="87" t="s">
        <v>39</v>
      </c>
      <c r="DS79" s="25">
        <f>SUM(DS65:DS78)</f>
        <v>8434.3799999999992</v>
      </c>
      <c r="DT79" s="25">
        <f>SUM(DT65:DT78)</f>
        <v>5836.29</v>
      </c>
      <c r="DU79" s="25">
        <f>SUM(DU65:DU78)</f>
        <v>2598.09</v>
      </c>
      <c r="DV79" s="25">
        <f>SUM(DV65:DV78)</f>
        <v>1623.8700000000003</v>
      </c>
      <c r="DW79" s="26">
        <f>(DW65*EI65+DW66*EI66+DW67*EI67+DW68*EI68+DW69*EI69+DW70*EI70+DW71*EI71+DW72*EI72+DW73*EI73+DW74*EI74+DW75*EI75+DW76*EI76+DW77*EI77+DW78*EI78)/EI79</f>
        <v>15.993872549019606</v>
      </c>
      <c r="DX79" s="25">
        <f>SUM(DX65:DX78)</f>
        <v>357.75</v>
      </c>
      <c r="DY79" s="26">
        <f>(DY65*EI65+DY66*EI66+DY67*EI67+DY68*EI68+DY69*EI69+DY70*EI70+DY71*EI71+DY72*EI72+DY73*EI73+DY74*EI74+DY75*EI75+DY76*EI76+DY77*EI77+DY78*EI78)/EI79</f>
        <v>3.4834954142947501</v>
      </c>
      <c r="DZ79" s="26">
        <f>SUM(DZ65:DZ78)</f>
        <v>0</v>
      </c>
      <c r="EA79" s="30">
        <f>(EA65*EI65+EA66*EI66+EA67*EI67+EA68*EI68+EA69*EI69+EA70*EI70+EA71*EI71+EA72*EI72+EA73*EI73+EA74*EI74+EA75*EI75+EA76*EI76+EA77*EI77+EA78*EI78)/EI79</f>
        <v>0</v>
      </c>
      <c r="EB79" s="25">
        <f>SUM(EB65:EB78)</f>
        <v>0</v>
      </c>
      <c r="EC79" s="26">
        <f>(EC65*EI65+EC66*EI66+EC67*EI67+EC68*EI68+EC69*EI69+EC70*EI70+EC71*EI71+EC72*EI72+EC73*EI73+EC74*EI74+EC75*EI75+EC76*EI76+EC77*EI77+EC78*EI78)/EI79</f>
        <v>80.522632036685636</v>
      </c>
      <c r="ED79" s="7">
        <f>(ED65*EI65+ED66*EI66+ED67*EI67+ED68*EI68+ED69*EI69+ED70*EI70+ED71*EI71+ED72*EI72+ED73*EI73+ED74*EI74+ED75*EI75+ED76*EI76+ED77*EI77+ED78*EI78)/EI79</f>
        <v>80.522632036685636</v>
      </c>
      <c r="EE79" s="7">
        <f>(EE65*EI65+EE66*EI66+EE67*EI67+EE68*EI68+EE69*EI69+EE70*EI70+EE71*EI71+EE72*EI72+EE73*EI73+EE74*EI74+EE75*EI75+EE76*EI76+EE77*EI77+EE78*EI78)/EI79</f>
        <v>18.319540598951011</v>
      </c>
      <c r="EF79" s="7">
        <f>(EF65*EI65+EF66*EI66+EF67*EI67+EF68*EI68+EF69*EI69+EF70*EI70+EF71*EI71+EF72*EI72+EF73*EI73+EF74*EI74+EF75*EI75+EF76*EI76+EF77*EI77+EF78*EI78)/EI79</f>
        <v>58.436751265022139</v>
      </c>
      <c r="EG79" s="30">
        <f>SUM(EG65:EG78)</f>
        <v>10416</v>
      </c>
      <c r="EH79" s="88">
        <f>SUM(EH65:EH78)</f>
        <v>147821.606</v>
      </c>
      <c r="EI79" s="29">
        <f>SUM(EI65:EI78)</f>
        <v>340</v>
      </c>
      <c r="EL79" s="87" t="s">
        <v>39</v>
      </c>
      <c r="EM79" s="25">
        <f>SUM(EM65:EM78)</f>
        <v>7939.39</v>
      </c>
      <c r="EN79" s="25">
        <f>SUM(EN65:EN78)</f>
        <v>3631.4600000000005</v>
      </c>
      <c r="EO79" s="25">
        <f>SUM(EO65:EO78)</f>
        <v>4307.93</v>
      </c>
      <c r="EP79" s="25">
        <f>SUM(EP65:EP78)</f>
        <v>1468.6100000000001</v>
      </c>
      <c r="EQ79" s="26">
        <f>(EQ65*FC65+EQ66*FC66+EQ67*FC67+EQ68*FC68+EQ69*FC69+EQ70*FC70+EQ71*FC71+EQ72*FC72+EQ73*FC73+EQ74*FC74+EQ75*FC75+EQ76*FC76+EQ77*FC77+EQ78*FC78)/FC79</f>
        <v>16.06934961484594</v>
      </c>
      <c r="ER79" s="25">
        <f>SUM(ER65:ER78)</f>
        <v>0</v>
      </c>
      <c r="ES79" s="26">
        <f>(ES65*FC65+ES66*FC66+ES67*FC67+ES68*FC68+ES69*FC69+ES70*FC70+ES71*FC71+ES72*FC72+ES73*FC73+ES74*FC74+ES75*FC75+ES76*FC76+ES77*FC77+ES78*FC78)/FC79</f>
        <v>0</v>
      </c>
      <c r="ET79" s="26">
        <f>SUM(ET65:ET78)</f>
        <v>0</v>
      </c>
      <c r="EU79" s="30">
        <f>(EU65*FC65+EU66*FC66+EU67*FC67+EU68*FC68+EU69*FC69+EU70*FC70+EU71*FC71+EU72*FC72+EU73*FC73+EU74*FC74+EU75*FC75+EU76*FC76+EU77*FC77+EU78*FC78)/FC79</f>
        <v>0</v>
      </c>
      <c r="EV79" s="25">
        <f>SUM(EV65:EV78)</f>
        <v>0</v>
      </c>
      <c r="EW79" s="26">
        <f>(EW65*FC65+EW66*FC66+EW67*FC67+EW68*FC68+EW69*FC69+EW70*FC70+EW71*FC71+EW72*FC72+EW73*FC73+EW74*FC74+EW75*FC75+EW76*FC76+EW77*FC77+EW78*FC78)/FC79</f>
        <v>75.808329380139142</v>
      </c>
      <c r="EX79" s="7">
        <f>(EX65*FC65+EX66*FC66+EX67*FC67+EX68*FC68+EX69*FC69+EX70*FC70+EX71*FC71+EX72*FC72+EX73*FC73+EX74*FC74+EX75*FC75+EX76*FC76+EX77*FC77+EX78*FC78)/FC79</f>
        <v>83.930650385154067</v>
      </c>
      <c r="EY79" s="7">
        <f>(EY65*FC65+EY66*FC66+EY67*FC67+EY68*FC68+EY69*FC69+EY70*FC70+EY71*FC71+EY72*FC72+EY73*FC73+EY74*FC74+EY75*FC75+EY76*FC76+EY77*FC77+EY78*FC78)/FC79</f>
        <v>17.274660931388219</v>
      </c>
      <c r="EZ79" s="7">
        <f>(EZ65*FC65+EZ66*FC66+EZ67*FC67+EZ68*FC68+EZ69*FC69+EZ70*FC70+EZ71*FC71+EZ72*FC72+EZ73*FC73+EZ74*FC74+EZ75*FC75+EZ76*FC76+EZ77*FC77+EZ78*FC78)/FC79</f>
        <v>38.859991684173679</v>
      </c>
      <c r="FA79" s="30">
        <f>SUM(FA65:FA78)</f>
        <v>9408</v>
      </c>
      <c r="FB79" s="45">
        <f>SUM(FB65:FB78)</f>
        <v>88787.309000000008</v>
      </c>
      <c r="FC79" s="29">
        <f>SUM(FC65:FC78)</f>
        <v>340</v>
      </c>
      <c r="FF79" s="87" t="s">
        <v>39</v>
      </c>
      <c r="FG79" s="25">
        <f>SUM(FG65:FG78)</f>
        <v>8360.2999999999993</v>
      </c>
      <c r="FH79" s="25">
        <f>SUM(FH65:FH78)</f>
        <v>6581.7599999999993</v>
      </c>
      <c r="FI79" s="25">
        <f>SUM(FI65:FI78)</f>
        <v>1778.54</v>
      </c>
      <c r="FJ79" s="25">
        <f>SUM(FJ65:FJ78)</f>
        <v>2055.7000000000003</v>
      </c>
      <c r="FK79" s="26">
        <f>(FK65*FW65+FK66*FW66+FK67*FW67+FK68*FW68+FK69*FW69+FK70*FW70+FK71*FW71+FK72*FW72+FK73*FW73+FK74*FW74+FK75*FW75+FK76*FW76+FK77*FW77+FK78*FW78)/FW79</f>
        <v>19.897849462365592</v>
      </c>
      <c r="FL79" s="25">
        <f>SUM(FL65:FL78)</f>
        <v>0</v>
      </c>
      <c r="FM79" s="26">
        <f>(FM65*FW65+FM66*FW66+FM67*FW67+FM68*FW68+FM69*FW69+FM70*FW70+FM71*FW71+FM72*FW72+FM73*FW73+FM74*FW74+FM75*FW75+FM76*FW76+FM77*FW77+FM78*FW78)/FW79</f>
        <v>0</v>
      </c>
      <c r="FN79" s="26">
        <f>SUM(FN65:FN78)</f>
        <v>0</v>
      </c>
      <c r="FO79" s="30">
        <f>(FO65*FW65+FO66*FW66+FO67*FW67+FO68*FW68+FO69*FW69+FO70*FW70+FO71*FW71+FO72*FW72+FO73*FW73+FO74*FW74+FO75*FW75+FO76*FW76+FO77*FW77+FO78*FW78)/FW79</f>
        <v>0</v>
      </c>
      <c r="FP79" s="25">
        <f>SUM(FP65:FP78)</f>
        <v>0</v>
      </c>
      <c r="FQ79" s="26">
        <f>(FQ65*FW65+FQ66*FW66+FQ67*FW67+FQ68*FW68+FQ69*FW69+FQ70*FW70+FQ71*FW71+FQ72*FW72+FQ73*FW73+FQ74*FW74+FQ75*FW75+FQ76*FW76+FQ77*FW77+FQ78*FW78)/FW79</f>
        <v>80.102150537634401</v>
      </c>
      <c r="FR79" s="7">
        <f>(FR65*FW65+FR66*FW66+FR67*FW67+FR68*FW68+FR69*FW69+FR70*FW70+FR71*FW71+FR72*FW72+FR73*FW73+FR74*FW74+FR75*FW75+FR76*FW76+FR77*FW77+FR78*FW78)/FW79</f>
        <v>80.102150537634401</v>
      </c>
      <c r="FS79" s="7">
        <f>(FS65*FW65+FS66*FW66+FS67*FW67+FS68*FW68+FS69*FW69+FS70*FW70+FS71*FW71+FS72*FW72+FS73*FW73+FS74*FW74+FS75*FW75+FS76*FW76+FS77*FW77+FS78*FW78)/FW79</f>
        <v>21.048290681533711</v>
      </c>
      <c r="FT79" s="7">
        <f>(FT65*FW65+FT66*FW66+FT67*FW67+FT68*FW68+FT69*FW69+FT70*FW70+FT71*FW71+FT72*FW72+FT73*FW73+FT74*FW74+FT75*FW75+FT76*FW76+FT77*FW77+FT78*FW78)/FW79</f>
        <v>62.278719955724227</v>
      </c>
      <c r="FU79" s="30">
        <f>SUM(FU65:FU78)</f>
        <v>10416</v>
      </c>
      <c r="FV79" s="45">
        <f>SUM(FV65:FV78)</f>
        <v>157540.25</v>
      </c>
      <c r="FW79" s="29">
        <f>SUM(FW65:FW78)</f>
        <v>340</v>
      </c>
      <c r="FZ79" s="87" t="s">
        <v>39</v>
      </c>
      <c r="GA79" s="25">
        <f>SUM(GA65:GA78)</f>
        <v>7891.5899999999992</v>
      </c>
      <c r="GB79" s="25">
        <f>SUM(GB65:GB78)</f>
        <v>6546.96</v>
      </c>
      <c r="GC79" s="25">
        <f>SUM(GC65:GC78)</f>
        <v>1344.6299999999999</v>
      </c>
      <c r="GD79" s="25">
        <f>SUM(GD65:GD78)</f>
        <v>2188.4100000000003</v>
      </c>
      <c r="GE79" s="78">
        <f>(GE65*GQ65+GE66*GQ66+GE67*GQ67+GE68*GQ68+GE69*GQ69+GE70*GQ70+GE71*GQ71+GE72*GQ72+GE73*GQ73+GE74*GQ74+GE75*GQ75+GE76*GQ76+GE77*GQ77+GE78*GQ78)/GQ79</f>
        <v>0.21912275326797381</v>
      </c>
      <c r="GF79" s="25">
        <f>SUM(GF65:GF78)</f>
        <v>0</v>
      </c>
      <c r="GG79" s="26">
        <f>(GG65*GQ65+GG66*GQ66+GG67*GQ67+GG68*GQ68+GG69*GQ69+GG70*GQ70+GG71*GQ71+GG72*GQ72+GG73*GQ73+GG74*GQ74+GG75*GQ75+GG76*GQ76+GG77*GQ77+GG78*GQ78)/GQ79</f>
        <v>0</v>
      </c>
      <c r="GH79" s="26">
        <f>SUM(GH65:GH78)</f>
        <v>0</v>
      </c>
      <c r="GI79" s="30">
        <f>(GI65*GQ65+GI66*GQ66+GI67*GQ67+GI68*GQ68+GI69*GQ69+GI70*GQ70+GI71*GQ71+GI72*GQ72+GI73*GQ73+GI74*GQ74+GI75*GQ75+GI76*GQ76+GI77*GQ77+GI78*GQ78)/GQ79</f>
        <v>0</v>
      </c>
      <c r="GJ79" s="25">
        <f>SUM(GJ65:GJ78)</f>
        <v>0</v>
      </c>
      <c r="GK79" s="26">
        <f>(GK65*GQ65+GK66*GQ66+GK67*GQ67+GK68*GQ68+GK69*GQ69+GK70*GQ70+GK71*GQ71+GK72*GQ72+GK73*GQ73+GK74*GQ74+GK75*GQ75+GK76*GQ76+GK77*GQ77+GK78*GQ78)/GQ79</f>
        <v>75.568765812776746</v>
      </c>
      <c r="GL79" s="7">
        <f>(GL65*GQ65+GL66*GQ66+GL67*GQ67+GL68*GQ68+GL69*GQ69+GL70*GQ70+GL71*GQ71+GL72*GQ72+GL73*GQ73+GL74*GQ74+GL75*GQ75+GL76*GQ76+GL77*GQ77+GL78*GQ78)/GQ79</f>
        <v>78.087724673202615</v>
      </c>
      <c r="GM79" s="7">
        <f>(GM65*GQ65+GM66*GQ66+GM67*GQ67+GM68*GQ68+GM69*GQ69+GM70*GQ70+GM71*GQ71+GM72*GQ72+GM73*GQ73+GM74*GQ74+GM75*GQ75+GM76*GQ76+GM77*GQ77+GM78*GQ78)/GQ79</f>
        <v>23.040499316206024</v>
      </c>
      <c r="GN79" s="7">
        <f>(GN65*GQ65+GN66*GQ66+GN67*GQ67+GN68*GQ68+GN69*GQ69+GN70*GQ70+GN71*GQ71+GN72*GQ72+GN73*GQ73+GN74*GQ74+GN75*GQ75+GN76*GQ76+GN77*GQ77+GN78*GQ78)/GQ79</f>
        <v>65.031760620915037</v>
      </c>
      <c r="GO79" s="30">
        <f>SUM(GO65:GO78)</f>
        <v>10080</v>
      </c>
      <c r="GP79" s="88">
        <f>SUM(GP65:GP78)</f>
        <v>159197.75</v>
      </c>
      <c r="GQ79" s="29">
        <f>SUM(GQ65:GQ78)</f>
        <v>340</v>
      </c>
      <c r="GT79" s="87" t="s">
        <v>39</v>
      </c>
      <c r="GU79" s="98">
        <f>SUM(GU65:GU78)</f>
        <v>8105.64</v>
      </c>
      <c r="GV79" s="98">
        <f>SUM(GV65:GV78)</f>
        <v>5931.6</v>
      </c>
      <c r="GW79" s="47">
        <f>SUM(GW65:GW78)</f>
        <v>2174.0400000000054</v>
      </c>
      <c r="GX79" s="98">
        <f>SUM(GX65:GX78)</f>
        <v>2310.36</v>
      </c>
      <c r="GY79" s="26">
        <f>(GY65*HK65+GY66*HK66+GY67*HK67+GY68*HK68+GY69*HK69+GY70*HK70+GY71*HK71+GY72*HK72+GY73*HK73+GY74*HK74+GY75*HK75+GY76*HK76+GY77*HK77+GY78*HK78)/HK79</f>
        <v>22.773640101201771</v>
      </c>
      <c r="GZ79" s="25">
        <f>SUM(GZ65:GZ78)</f>
        <v>0</v>
      </c>
      <c r="HA79" s="26">
        <f>(HA65*HK65+HA66*HK66+HA67*HK67+HA68*HK68+HA69*HK69+HA70*HK70+HA71*HK71+HA72*HK72+HA73*HK73+HA74*HK74+HA75*HK75+HA76*HK76+HA77*HK77+HA78*HK78)/HK79</f>
        <v>0</v>
      </c>
      <c r="HB79" s="26">
        <f>SUM(HB65:HB78)</f>
        <v>0</v>
      </c>
      <c r="HC79" s="30">
        <f>(HC65*HK65+HC66*HK66+HC67*HK67+HC68*HK68+HC69*HK69+HC70*HK70+HC71*HK71+HC72*HK72+HC73*HK73+HC74*HK74+HC75*HK75+HC76*HK76+HC77*HK77+HC78*HK78)/HK79</f>
        <v>0</v>
      </c>
      <c r="HD79" s="25">
        <f>SUM(HD65:HD78)</f>
        <v>0</v>
      </c>
      <c r="HE79" s="26">
        <f>(HE65*HK65+HE66*HK66+HE67*HK67+HE68*HK68+HE69*HK69+HE70*HK70+HE71*HK71+HE72*HK72+HE73*HK73+HE74*HK74+HE75*HK75+HE76*HK76+HE77*HK77+HE78*HK78)/HK79</f>
        <v>77.226359898798236</v>
      </c>
      <c r="HF79" s="7">
        <f>(HF65*HK65+HF66*HK66+HF67*HK67+HF68*HK68+HF69*HK69+HF70*HK70+HF71*HK71+HF72*HK72+HF73*HK73+HF74*HK74+HF75*HK75+HF76*HK76+HF77*HK77+HF78*HK78)/HK79</f>
        <v>77.226359898798236</v>
      </c>
      <c r="HG79" s="7">
        <f>(HG65*HK65+HG66*HK66+HG67*HK67+HG68*HK68+HG69*HK69+HG70*HK70+HG71*HK71+HG72*HK72+HG73*HK73+HG74*HK74+HG75*HK75+HG76*HK76+HG77*HK77+HG78*HK78)/HK79</f>
        <v>23.02994274569274</v>
      </c>
      <c r="HH79" s="7">
        <f>(HH65*HK65+HH66*HK66+HH67*HK67+HH68*HK68+HH69*HK69+HH70*HK70+HH71*HK71+HH72*HK72+HH73*HK73+HH74*HK74+HH75*HK75+HH76*HK76+HH77*HK77+HH78*HK78)/HK79</f>
        <v>57.085614326375705</v>
      </c>
      <c r="HI79" s="30">
        <f>SUM(HI65:HI78)</f>
        <v>10416.000000000005</v>
      </c>
      <c r="HJ79" s="88">
        <f>SUM(HJ65:HJ78)</f>
        <v>144403.76999999999</v>
      </c>
      <c r="HK79" s="29">
        <f>SUM(HK65:HK78)</f>
        <v>340</v>
      </c>
      <c r="HN79" s="87" t="s">
        <v>39</v>
      </c>
      <c r="HO79" s="29">
        <f>SUM(HO65:HO78)</f>
        <v>8018.47</v>
      </c>
      <c r="HP79" s="29">
        <f>SUM(HP65:HP78)</f>
        <v>5605.23</v>
      </c>
      <c r="HQ79" s="29">
        <f>SUM(HQ65:HQ78)</f>
        <v>2413.2399999999993</v>
      </c>
      <c r="HR79" s="29">
        <f>SUM(HR65:HR78)</f>
        <v>2061.5299999999997</v>
      </c>
      <c r="HS79" s="26">
        <f>(HS65*IE65+HS66*IE66+HS67*IE67+HS68*IE68+HS69*IE69+HS70*IE70+HS71*IE71+HS72*IE72+HS73*IE73+HS74*IE74+HS75*IE75+HS76*IE76+HS77*IE77+HS78*IE78)/IE79</f>
        <v>20.198692810457516</v>
      </c>
      <c r="HT79" s="29">
        <f>SUM(HT65:HT78)</f>
        <v>0</v>
      </c>
      <c r="HU79" s="26">
        <f>(HU65*IE65+HU66*IE66+HU67*IE67+HU68*IE68+HU69*IE69+HU70*IE70+HU71*IE71+HU72*IE72+HU73*IE73+HU74*IE74+HU75*IE75+HU76*IE76+HU77*IE77+HU78*IE78)/IE79</f>
        <v>0</v>
      </c>
      <c r="HV79" s="29">
        <f>SUM(HV65:HV78)</f>
        <v>0</v>
      </c>
      <c r="HW79" s="26">
        <f>(HW65*IE65+HW66*IE66+HW67*IE67+HW68*IE68+HW69*IE69+HW70*IE70+HW71*IE71+HW72*IE72+HW73*IE73+HW74*IE74+HW75*IE75+HW76*IE76+HW77*IE77+HW78*IE78)/IE79</f>
        <v>0</v>
      </c>
      <c r="HX79" s="29">
        <f>SUM(HX65:HX78)</f>
        <v>0</v>
      </c>
      <c r="HY79" s="26">
        <f>(HY65*IE65+HY66*IE66+HY67*IE67+HY68*IE68+HY69*IE69+HY70*IE70+HY71*IE71+HY72*IE72+HY73*IE73+HY74*IE74+HY75*IE75+HY76*IE76+HY77*IE77+HY78*IE78)/IE79</f>
        <v>79.80130718954247</v>
      </c>
      <c r="HZ79" s="7">
        <f>(HZ65*IE65+HZ66*IE66+HZ67*IE67+HZ68*IE68+HZ69*IE69+HZ70*IE70+HZ71*IE71+HZ72*IE72+HZ73*IE73+HZ74*IE74+HZ75*IE75+HZ76*IE76+HZ77*IE77+HZ78*IE78)/IE79</f>
        <v>79.80130718954247</v>
      </c>
      <c r="IA79" s="7">
        <f>(IA65*IE65+IA66*IE66+IA67*IE67+IA68*IE68+IA69*IE69+IA70*IE70+IA71*IE71+IA72*IE72+IA73*IE73+IA74*IE74+IA75*IE75+IA76*IE76+IA77*IE77+IA78*IE78)/IE79</f>
        <v>20.972301927564011</v>
      </c>
      <c r="IB79" s="7">
        <f>(IB65*IE65+IB66*IE66+IB67*IE67+IB68*IE68+IB69*IE69+IB70*IE70+IB71*IE71+IB72*IE72+IB73*IE73+IB74*IE74+IB75*IE75+IB76*IE76+IB77*IE77+IB78*IE78)/IE79</f>
        <v>55.519474264705885</v>
      </c>
      <c r="IC79" s="30">
        <f>SUM(IC65:IC78)</f>
        <v>10080</v>
      </c>
      <c r="ID79" s="47">
        <f>SUM(ID65:ID78)</f>
        <v>135911.67299999998</v>
      </c>
      <c r="IE79" s="29">
        <f>SUM(IE65:IE78)</f>
        <v>340</v>
      </c>
      <c r="IF79" s="15"/>
    </row>
    <row r="80" spans="1:240" ht="14.25" x14ac:dyDescent="0.25">
      <c r="B80" s="37"/>
      <c r="GE80" s="69"/>
      <c r="IC80" s="198"/>
      <c r="ID80" s="46"/>
      <c r="IE80" s="15">
        <f>SUM(IE79,IE64,IE59,IE56,IE52,IE46,IE43,IE40,IE37,IE33,IE21,IE18,IE12,IE15,IE49)</f>
        <v>4463</v>
      </c>
      <c r="IF80" s="42">
        <f>SUM(IF6:IF78)-IF22</f>
        <v>5448</v>
      </c>
    </row>
    <row r="81" spans="2:240" ht="28.5" x14ac:dyDescent="0.25">
      <c r="B81" s="37"/>
      <c r="Q81" s="198" t="s">
        <v>81</v>
      </c>
      <c r="R81" s="46">
        <f>SUM(R79,R64,R59,R56,R52,R49,R46,R40,R37,R33,R21,R18,R15,R12)</f>
        <v>1177928.3229999999</v>
      </c>
      <c r="AK81" s="198" t="s">
        <v>81</v>
      </c>
      <c r="AL81" s="46">
        <f>SUM(AL79,AL64,AL59,AL56,AL52,AL49,AL46,AL40,AL37,AL33,AL21,AL18,AL15,AL12)</f>
        <v>1237705.9270000001</v>
      </c>
      <c r="BE81" s="198" t="s">
        <v>81</v>
      </c>
      <c r="BF81" s="46">
        <f>SUM(BF79,BF64,BF59,BF56,BF52,BF49,BF46,BF40,BF37,BF33,BF21,BF18,BF15,BF12)</f>
        <v>1251656.2779999999</v>
      </c>
      <c r="BY81" s="198" t="s">
        <v>81</v>
      </c>
      <c r="BZ81" s="46">
        <f>SUM(BZ79,BZ64,BZ59,BZ56,BZ52,BZ49,BZ46,BZ40,BZ37,BZ33,BZ21,BZ18,BZ15,BZ12)</f>
        <v>1187641.9480000001</v>
      </c>
      <c r="CS81" s="198" t="s">
        <v>81</v>
      </c>
      <c r="CT81" s="46">
        <f>SUM(CT79,CT64,CT59,CT56,CT52,CT49,CT46,CT40,CT37,CT33,CT21,CT18,CT15,CT12)</f>
        <v>1004464.523</v>
      </c>
      <c r="CU81" s="6"/>
      <c r="CZ81" s="6"/>
      <c r="DM81" s="198" t="s">
        <v>81</v>
      </c>
      <c r="DN81" s="46">
        <f>SUM(DN79,DN64,DN59,DN56,DN52,DN49,DN46,DN40,DN37,DN33,DN21,DN18,DN15,DN12)</f>
        <v>864642.27300000004</v>
      </c>
      <c r="EG81" s="198" t="s">
        <v>81</v>
      </c>
      <c r="EH81" s="46">
        <f>SUM(EH79,EH64,EH59,EH56,EH52,EH49,EH46,EH40,EH37,EH33,EH21,EH18,EH15,EH12)</f>
        <v>912483.90599999996</v>
      </c>
      <c r="FA81" s="198" t="s">
        <v>81</v>
      </c>
      <c r="FB81" s="46">
        <f>SUM(FB79,FB64,FB59,FB56,FB52,FB49,FB46,FB40,FB37,FB33,FB21,FB18,FB15,FB12)</f>
        <v>814200.10899999994</v>
      </c>
      <c r="FU81" s="198" t="s">
        <v>81</v>
      </c>
      <c r="FV81" s="46">
        <f>SUM(FV79,FV64,FV59,FV56,FV52,FV49,FV46,FV40,FV37,FV33,FV21,FV18,FV15,FV12)</f>
        <v>779781.85</v>
      </c>
      <c r="GE81" s="69"/>
      <c r="GO81" s="198" t="s">
        <v>81</v>
      </c>
      <c r="GP81" s="46">
        <f>SUM(GP79,GP64,GP59,GP56,GP52,GP49,GP46,GP40,GP37,GP33,GP21,GP18,GP15,GP12)</f>
        <v>800432.56400000001</v>
      </c>
      <c r="GQ81" s="15"/>
      <c r="HI81" s="198" t="s">
        <v>81</v>
      </c>
      <c r="HJ81" s="46">
        <f>SUM(HJ79,HJ64,HJ59,HJ56,HJ52,HJ49,HJ46,HJ40,HJ37,HJ33,HJ21,HJ18,HJ15,HJ12)</f>
        <v>918356.87</v>
      </c>
      <c r="IE81" s="15">
        <f>SUM(IE12,IE15,IE18,IE21)</f>
        <v>2792</v>
      </c>
      <c r="IF81" s="42">
        <v>1673</v>
      </c>
    </row>
    <row r="82" spans="2:240" ht="14.25" x14ac:dyDescent="0.25">
      <c r="B82" s="37"/>
      <c r="CU82" s="6"/>
      <c r="CZ82" s="6"/>
      <c r="IE82" s="8">
        <f>SUM(IE79,IE64,IE59,IE56,IE52,IE49,IE46,IE43,IE40,IE37,IE33)</f>
        <v>1671</v>
      </c>
      <c r="IF82" s="42">
        <f>SUM(IF23:IF78)</f>
        <v>898</v>
      </c>
    </row>
    <row r="83" spans="2:240" ht="14.25" x14ac:dyDescent="0.25">
      <c r="B83" s="37"/>
      <c r="CU83" s="6"/>
      <c r="CZ83" s="6"/>
    </row>
    <row r="84" spans="2:240" ht="12.75" customHeight="1" x14ac:dyDescent="0.25">
      <c r="CU84" s="6"/>
      <c r="CZ84" s="6"/>
    </row>
    <row r="85" spans="2:240" ht="12.75" customHeight="1" x14ac:dyDescent="0.25">
      <c r="CU85" s="6"/>
      <c r="CZ85" s="6"/>
    </row>
  </sheetData>
  <mergeCells count="12">
    <mergeCell ref="HM3:IA3"/>
    <mergeCell ref="A3:N3"/>
    <mergeCell ref="U3:AI3"/>
    <mergeCell ref="AO3:BC3"/>
    <mergeCell ref="BI3:BW3"/>
    <mergeCell ref="CC3:CQ3"/>
    <mergeCell ref="CW3:DK3"/>
    <mergeCell ref="DQ3:EE3"/>
    <mergeCell ref="EK3:EY3"/>
    <mergeCell ref="FE3:FS3"/>
    <mergeCell ref="FY3:GM3"/>
    <mergeCell ref="GS3:HG3"/>
  </mergeCells>
  <phoneticPr fontId="3" type="noConversion"/>
  <pageMargins left="0.7" right="0.7" top="0.75" bottom="0.75" header="0.3" footer="0.3"/>
  <pageSetup orientation="portrait"/>
  <ignoredErrors>
    <ignoredError sqref="G12:Q63 G64:Q64" formula="1"/>
  </ignoredError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042F3-0433-4781-8470-B8D141B24F38}">
  <dimension ref="A1:JF109"/>
  <sheetViews>
    <sheetView zoomScale="82" zoomScaleNormal="100" workbookViewId="0">
      <selection activeCell="Y13" sqref="Y13"/>
    </sheetView>
  </sheetViews>
  <sheetFormatPr defaultColWidth="8.7109375" defaultRowHeight="12.75" customHeight="1" x14ac:dyDescent="0.25"/>
  <cols>
    <col min="1" max="1" width="18.140625" style="8" bestFit="1" customWidth="1"/>
    <col min="2" max="2" width="17.7109375" style="8" bestFit="1" customWidth="1"/>
    <col min="3" max="6" width="10.7109375" style="8" bestFit="1" customWidth="1"/>
    <col min="7" max="7" width="6.5703125" style="8" bestFit="1" customWidth="1"/>
    <col min="8" max="8" width="10.7109375" style="8" bestFit="1" customWidth="1"/>
    <col min="9" max="9" width="5.5703125" style="8" bestFit="1" customWidth="1"/>
    <col min="10" max="10" width="8.85546875" style="8" bestFit="1" customWidth="1"/>
    <col min="11" max="11" width="5.85546875" style="8" bestFit="1" customWidth="1"/>
    <col min="12" max="12" width="8.42578125" style="8" bestFit="1" customWidth="1"/>
    <col min="13" max="14" width="6.5703125" style="8" bestFit="1" customWidth="1"/>
    <col min="15" max="15" width="7.140625" style="8" bestFit="1" customWidth="1"/>
    <col min="16" max="16" width="5.5703125" style="8" bestFit="1" customWidth="1"/>
    <col min="17" max="17" width="5.42578125" style="8" bestFit="1" customWidth="1"/>
    <col min="18" max="18" width="5.42578125" style="8" customWidth="1"/>
    <col min="19" max="19" width="12.140625" style="8" customWidth="1"/>
    <col min="20" max="20" width="15" style="8" bestFit="1" customWidth="1"/>
    <col min="21" max="21" width="10.7109375" style="8" customWidth="1"/>
    <col min="22" max="22" width="8.7109375" style="8"/>
    <col min="23" max="23" width="18.140625" style="8" bestFit="1" customWidth="1"/>
    <col min="24" max="24" width="17.7109375" style="8" bestFit="1" customWidth="1"/>
    <col min="25" max="26" width="10.7109375" style="8" bestFit="1" customWidth="1"/>
    <col min="27" max="27" width="8.7109375" style="8"/>
    <col min="28" max="28" width="10.7109375" style="8" bestFit="1" customWidth="1"/>
    <col min="29" max="40" width="8.7109375" style="8"/>
    <col min="41" max="41" width="11.7109375" style="8" customWidth="1"/>
    <col min="42" max="42" width="15" style="8" bestFit="1" customWidth="1"/>
    <col min="43" max="43" width="10.42578125" style="8" customWidth="1"/>
    <col min="44" max="44" width="8.7109375" style="8"/>
    <col min="45" max="45" width="18.140625" style="8" bestFit="1" customWidth="1"/>
    <col min="46" max="46" width="17.7109375" style="8" bestFit="1" customWidth="1"/>
    <col min="47" max="47" width="11.85546875" style="8" bestFit="1" customWidth="1"/>
    <col min="48" max="50" width="10.7109375" style="8" bestFit="1" customWidth="1"/>
    <col min="51" max="51" width="7.7109375" style="8" bestFit="1" customWidth="1"/>
    <col min="52" max="58" width="8.7109375" style="8"/>
    <col min="59" max="62" width="9.5703125" style="8" customWidth="1"/>
    <col min="63" max="63" width="11.85546875" style="8" customWidth="1"/>
    <col min="64" max="64" width="15" style="8" bestFit="1" customWidth="1"/>
    <col min="65" max="65" width="10.140625" style="8" customWidth="1"/>
    <col min="66" max="66" width="8.7109375" style="8"/>
    <col min="67" max="67" width="18.140625" style="8" bestFit="1" customWidth="1"/>
    <col min="68" max="68" width="17.7109375" style="8" bestFit="1" customWidth="1"/>
    <col min="69" max="70" width="10.7109375" style="8" bestFit="1" customWidth="1"/>
    <col min="71" max="71" width="8.7109375" style="8"/>
    <col min="72" max="72" width="10.7109375" style="8" bestFit="1" customWidth="1"/>
    <col min="73" max="84" width="8.7109375" style="8"/>
    <col min="85" max="85" width="11.140625" style="8" customWidth="1"/>
    <col min="86" max="86" width="15" style="8" bestFit="1" customWidth="1"/>
    <col min="87" max="87" width="9.85546875" style="8" customWidth="1"/>
    <col min="88" max="88" width="8.7109375" style="8"/>
    <col min="89" max="89" width="18.140625" style="8" bestFit="1" customWidth="1"/>
    <col min="90" max="90" width="17.7109375" style="8" bestFit="1" customWidth="1"/>
    <col min="91" max="92" width="10.7109375" style="8" bestFit="1" customWidth="1"/>
    <col min="93" max="93" width="8.7109375" style="8"/>
    <col min="94" max="94" width="10.7109375" style="8" bestFit="1" customWidth="1"/>
    <col min="95" max="95" width="8.7109375" style="8"/>
    <col min="96" max="96" width="10.7109375" style="8" bestFit="1" customWidth="1"/>
    <col min="97" max="106" width="8.7109375" style="8"/>
    <col min="107" max="107" width="12" style="8" customWidth="1"/>
    <col min="108" max="108" width="15" style="8" bestFit="1" customWidth="1"/>
    <col min="109" max="109" width="10.7109375" style="8" bestFit="1" customWidth="1"/>
    <col min="110" max="110" width="8.7109375" style="8"/>
    <col min="111" max="111" width="18.140625" style="8" bestFit="1" customWidth="1"/>
    <col min="112" max="112" width="17.7109375" style="8" bestFit="1" customWidth="1"/>
    <col min="113" max="116" width="10.7109375" style="8" bestFit="1" customWidth="1"/>
    <col min="117" max="117" width="8.7109375" style="8"/>
    <col min="118" max="118" width="10.7109375" style="8" bestFit="1" customWidth="1"/>
    <col min="119" max="119" width="8.7109375" style="8"/>
    <col min="120" max="120" width="9.140625" style="8" bestFit="1" customWidth="1"/>
    <col min="121" max="128" width="8.7109375" style="8"/>
    <col min="129" max="129" width="11.85546875" style="8" customWidth="1"/>
    <col min="130" max="130" width="13" style="8" bestFit="1" customWidth="1"/>
    <col min="131" max="131" width="9.85546875" style="8" customWidth="1"/>
    <col min="132" max="132" width="8.7109375" style="8"/>
    <col min="133" max="133" width="18.140625" style="8" bestFit="1" customWidth="1"/>
    <col min="134" max="134" width="17.7109375" style="8" bestFit="1" customWidth="1"/>
    <col min="135" max="136" width="10.7109375" style="8" bestFit="1" customWidth="1"/>
    <col min="137" max="137" width="8.7109375" style="8"/>
    <col min="138" max="138" width="10.7109375" style="8" bestFit="1" customWidth="1"/>
    <col min="139" max="139" width="8.7109375" style="8"/>
    <col min="140" max="140" width="10.7109375" style="8" bestFit="1" customWidth="1"/>
    <col min="141" max="143" width="8.7109375" style="8"/>
    <col min="144" max="144" width="10.7109375" style="8" bestFit="1" customWidth="1"/>
    <col min="145" max="147" width="9" style="8" bestFit="1" customWidth="1"/>
    <col min="148" max="150" width="8.7109375" style="8"/>
    <col min="151" max="151" width="14.140625" style="8" customWidth="1"/>
    <col min="152" max="152" width="13.42578125" style="8" customWidth="1"/>
    <col min="153" max="153" width="10.140625" style="8" customWidth="1"/>
    <col min="154" max="154" width="8.7109375" style="8"/>
    <col min="155" max="155" width="18.140625" style="8" bestFit="1" customWidth="1"/>
    <col min="156" max="156" width="17.7109375" style="8" bestFit="1" customWidth="1"/>
    <col min="157" max="158" width="10.7109375" style="8" bestFit="1" customWidth="1"/>
    <col min="159" max="159" width="8.7109375" style="8"/>
    <col min="160" max="160" width="10.7109375" style="8" bestFit="1" customWidth="1"/>
    <col min="161" max="161" width="9" style="8" bestFit="1" customWidth="1"/>
    <col min="162" max="162" width="10.7109375" style="8" bestFit="1" customWidth="1"/>
    <col min="163" max="167" width="8.7109375" style="8"/>
    <col min="168" max="168" width="9" style="8" bestFit="1" customWidth="1"/>
    <col min="169" max="172" width="8.7109375" style="8"/>
    <col min="173" max="173" width="11.28515625" style="8" customWidth="1"/>
    <col min="174" max="174" width="12" style="8" customWidth="1"/>
    <col min="175" max="175" width="9.85546875" style="8" customWidth="1"/>
    <col min="176" max="176" width="8.7109375" style="8"/>
    <col min="177" max="177" width="18.140625" style="8" bestFit="1" customWidth="1"/>
    <col min="178" max="178" width="17.7109375" style="8" bestFit="1" customWidth="1"/>
    <col min="179" max="182" width="10.7109375" style="8" bestFit="1" customWidth="1"/>
    <col min="183" max="183" width="9" style="8" bestFit="1" customWidth="1"/>
    <col min="184" max="184" width="10.7109375" style="8" bestFit="1" customWidth="1"/>
    <col min="185" max="188" width="8.7109375" style="8"/>
    <col min="189" max="191" width="9" style="8" bestFit="1" customWidth="1"/>
    <col min="192" max="194" width="8.7109375" style="8"/>
    <col min="195" max="195" width="11.5703125" style="8" customWidth="1"/>
    <col min="196" max="196" width="12.42578125" style="8" customWidth="1"/>
    <col min="197" max="197" width="10" style="8" customWidth="1"/>
    <col min="198" max="198" width="8.7109375" style="8"/>
    <col min="199" max="199" width="18.140625" style="8" bestFit="1" customWidth="1"/>
    <col min="200" max="200" width="17.7109375" style="8" bestFit="1" customWidth="1"/>
    <col min="201" max="204" width="10.7109375" style="8" bestFit="1" customWidth="1"/>
    <col min="205" max="205" width="9.85546875" style="8" bestFit="1" customWidth="1"/>
    <col min="206" max="207" width="8.7109375" style="8"/>
    <col min="208" max="208" width="10.140625" style="8" bestFit="1" customWidth="1"/>
    <col min="209" max="212" width="8.7109375" style="8"/>
    <col min="213" max="213" width="9" style="8" bestFit="1" customWidth="1"/>
    <col min="214" max="216" width="8.7109375" style="8"/>
    <col min="217" max="217" width="11.140625" style="8" customWidth="1"/>
    <col min="218" max="218" width="12.85546875" style="8" customWidth="1"/>
    <col min="219" max="219" width="10.28515625" style="8" customWidth="1"/>
    <col min="220" max="220" width="8.7109375" style="8"/>
    <col min="221" max="221" width="18.140625" style="8" bestFit="1" customWidth="1"/>
    <col min="222" max="222" width="17.7109375" style="8" bestFit="1" customWidth="1"/>
    <col min="223" max="226" width="10.7109375" style="8" bestFit="1" customWidth="1"/>
    <col min="227" max="227" width="9.5703125" style="8" bestFit="1" customWidth="1"/>
    <col min="228" max="228" width="8.7109375" style="8"/>
    <col min="229" max="229" width="7.85546875" style="8" bestFit="1" customWidth="1"/>
    <col min="230" max="230" width="6.85546875" style="8" customWidth="1"/>
    <col min="231" max="231" width="9.5703125" style="8" customWidth="1"/>
    <col min="232" max="232" width="8.7109375" style="8"/>
    <col min="233" max="235" width="9" style="8" bestFit="1" customWidth="1"/>
    <col min="236" max="236" width="7.42578125" style="8" customWidth="1"/>
    <col min="237" max="238" width="6.85546875" style="8" customWidth="1"/>
    <col min="239" max="239" width="11.7109375" style="8" customWidth="1"/>
    <col min="240" max="240" width="12" style="8" customWidth="1"/>
    <col min="241" max="241" width="9.7109375" style="8" customWidth="1"/>
    <col min="242" max="242" width="8.7109375" style="8"/>
    <col min="243" max="243" width="18.140625" style="8" bestFit="1" customWidth="1"/>
    <col min="244" max="244" width="17.7109375" style="8" bestFit="1" customWidth="1"/>
    <col min="245" max="248" width="10.7109375" style="8" bestFit="1" customWidth="1"/>
    <col min="249" max="249" width="11.28515625" style="8" bestFit="1" customWidth="1"/>
    <col min="250" max="250" width="10.7109375" style="8" bestFit="1" customWidth="1"/>
    <col min="251" max="251" width="8.85546875" style="8" bestFit="1" customWidth="1"/>
    <col min="252" max="252" width="8.7109375" style="8"/>
    <col min="253" max="253" width="9.85546875" style="8" customWidth="1"/>
    <col min="254" max="254" width="11" style="8" customWidth="1"/>
    <col min="255" max="255" width="8.7109375" style="8"/>
    <col min="256" max="256" width="9" style="8" bestFit="1" customWidth="1"/>
    <col min="257" max="260" width="8.7109375" style="8"/>
    <col min="261" max="261" width="12.28515625" style="8" customWidth="1"/>
    <col min="262" max="262" width="15" style="8" bestFit="1" customWidth="1"/>
    <col min="263" max="263" width="10.140625" style="8" customWidth="1"/>
    <col min="264" max="264" width="8.85546875" style="8" bestFit="1" customWidth="1"/>
    <col min="265" max="265" width="15.85546875" style="8" customWidth="1"/>
    <col min="266" max="266" width="15" style="8" bestFit="1" customWidth="1"/>
    <col min="267" max="270" width="8.7109375" style="8"/>
    <col min="271" max="271" width="11.28515625" style="8" customWidth="1"/>
    <col min="272" max="16384" width="8.7109375" style="8"/>
  </cols>
  <sheetData>
    <row r="1" spans="1:263" ht="15" x14ac:dyDescent="0.25">
      <c r="F1" s="74"/>
      <c r="AB1" s="74"/>
      <c r="AX1" s="74"/>
      <c r="BT1" s="74"/>
      <c r="CP1" s="74"/>
      <c r="DL1" s="74"/>
      <c r="EH1" s="74"/>
      <c r="FD1" s="74"/>
      <c r="FZ1" s="74"/>
      <c r="GW1" s="74"/>
    </row>
    <row r="2" spans="1:263" ht="15" customHeight="1" x14ac:dyDescent="0.25">
      <c r="AS2" s="9"/>
      <c r="AT2" s="9"/>
      <c r="AU2" s="9"/>
      <c r="AV2" s="9"/>
      <c r="AW2" s="9"/>
      <c r="AX2" s="9"/>
      <c r="AY2" s="9"/>
      <c r="AZ2" s="9"/>
      <c r="BA2" s="9"/>
      <c r="BB2" s="9"/>
      <c r="BC2" s="9"/>
      <c r="BD2" s="9"/>
      <c r="BE2" s="9"/>
      <c r="BF2" s="9"/>
      <c r="BG2" s="9"/>
      <c r="BH2" s="9"/>
      <c r="BI2" s="9"/>
      <c r="BJ2" s="9"/>
    </row>
    <row r="3" spans="1:263" ht="12.95" customHeight="1" x14ac:dyDescent="0.25">
      <c r="A3" s="223" t="s">
        <v>0</v>
      </c>
      <c r="B3" s="223"/>
      <c r="C3" s="223"/>
      <c r="D3" s="223"/>
      <c r="E3" s="223"/>
      <c r="F3" s="223"/>
      <c r="G3" s="223"/>
      <c r="H3" s="223"/>
      <c r="I3" s="223"/>
      <c r="J3" s="223"/>
      <c r="K3" s="223"/>
      <c r="L3" s="223"/>
      <c r="M3" s="223"/>
      <c r="N3" s="223"/>
      <c r="O3" s="105"/>
      <c r="P3" s="105"/>
      <c r="Q3" s="105"/>
      <c r="R3" s="105"/>
      <c r="S3" s="105"/>
      <c r="W3" s="223" t="s">
        <v>1</v>
      </c>
      <c r="X3" s="223"/>
      <c r="Y3" s="223"/>
      <c r="Z3" s="223"/>
      <c r="AA3" s="223"/>
      <c r="AB3" s="223"/>
      <c r="AC3" s="223"/>
      <c r="AD3" s="223"/>
      <c r="AE3" s="223"/>
      <c r="AF3" s="223"/>
      <c r="AG3" s="223"/>
      <c r="AH3" s="223"/>
      <c r="AI3" s="223"/>
      <c r="AJ3" s="223"/>
      <c r="AK3" s="223"/>
      <c r="AL3" s="105"/>
      <c r="AM3" s="105"/>
      <c r="AN3" s="105"/>
      <c r="AO3" s="105"/>
      <c r="AS3" s="223" t="s">
        <v>2</v>
      </c>
      <c r="AT3" s="223"/>
      <c r="AU3" s="223"/>
      <c r="AV3" s="223"/>
      <c r="AW3" s="223"/>
      <c r="AX3" s="223"/>
      <c r="AY3" s="223"/>
      <c r="AZ3" s="223"/>
      <c r="BA3" s="223"/>
      <c r="BB3" s="223"/>
      <c r="BC3" s="223"/>
      <c r="BD3" s="223"/>
      <c r="BE3" s="223"/>
      <c r="BF3" s="223"/>
      <c r="BG3" s="223"/>
      <c r="BH3" s="105"/>
      <c r="BI3" s="105"/>
      <c r="BJ3" s="105"/>
      <c r="BO3" s="223" t="s">
        <v>3</v>
      </c>
      <c r="BP3" s="223"/>
      <c r="BQ3" s="223"/>
      <c r="BR3" s="223"/>
      <c r="BS3" s="223"/>
      <c r="BT3" s="223"/>
      <c r="BU3" s="223"/>
      <c r="BV3" s="223"/>
      <c r="BW3" s="223"/>
      <c r="BX3" s="223"/>
      <c r="BY3" s="223"/>
      <c r="BZ3" s="223"/>
      <c r="CA3" s="223"/>
      <c r="CB3" s="223"/>
      <c r="CC3" s="223"/>
      <c r="CD3" s="105"/>
      <c r="CE3" s="105"/>
      <c r="CF3" s="105"/>
      <c r="CK3" s="223" t="s">
        <v>4</v>
      </c>
      <c r="CL3" s="223"/>
      <c r="CM3" s="223"/>
      <c r="CN3" s="223"/>
      <c r="CO3" s="223"/>
      <c r="CP3" s="223"/>
      <c r="CQ3" s="223"/>
      <c r="CR3" s="223"/>
      <c r="CS3" s="223"/>
      <c r="CT3" s="223"/>
      <c r="CU3" s="223"/>
      <c r="CV3" s="223"/>
      <c r="CW3" s="223"/>
      <c r="CX3" s="223"/>
      <c r="CY3" s="223"/>
      <c r="CZ3" s="105"/>
      <c r="DA3" s="105"/>
      <c r="DB3" s="105"/>
      <c r="DG3" s="223" t="s">
        <v>5</v>
      </c>
      <c r="DH3" s="223"/>
      <c r="DI3" s="223"/>
      <c r="DJ3" s="223"/>
      <c r="DK3" s="223"/>
      <c r="DL3" s="223"/>
      <c r="DM3" s="223"/>
      <c r="DN3" s="223"/>
      <c r="DO3" s="223"/>
      <c r="DP3" s="223"/>
      <c r="DQ3" s="223"/>
      <c r="DR3" s="223"/>
      <c r="DS3" s="223"/>
      <c r="DT3" s="223"/>
      <c r="DU3" s="223"/>
      <c r="DV3" s="105"/>
      <c r="DW3" s="105"/>
      <c r="DX3" s="105"/>
      <c r="EC3" s="223" t="s">
        <v>6</v>
      </c>
      <c r="ED3" s="223"/>
      <c r="EE3" s="223"/>
      <c r="EF3" s="223"/>
      <c r="EG3" s="223"/>
      <c r="EH3" s="223"/>
      <c r="EI3" s="223"/>
      <c r="EJ3" s="223"/>
      <c r="EK3" s="223"/>
      <c r="EL3" s="223"/>
      <c r="EM3" s="223"/>
      <c r="EN3" s="223"/>
      <c r="EO3" s="223"/>
      <c r="EP3" s="223"/>
      <c r="EQ3" s="223"/>
      <c r="ER3" s="105"/>
      <c r="ES3" s="105"/>
      <c r="ET3" s="105"/>
      <c r="EY3" s="223" t="s">
        <v>7</v>
      </c>
      <c r="EZ3" s="223"/>
      <c r="FA3" s="223"/>
      <c r="FB3" s="223"/>
      <c r="FC3" s="223"/>
      <c r="FD3" s="223"/>
      <c r="FE3" s="223"/>
      <c r="FF3" s="223"/>
      <c r="FG3" s="223"/>
      <c r="FH3" s="223"/>
      <c r="FI3" s="223"/>
      <c r="FJ3" s="223"/>
      <c r="FK3" s="223"/>
      <c r="FL3" s="223"/>
      <c r="FM3" s="223"/>
      <c r="FN3" s="105"/>
      <c r="FO3" s="105"/>
      <c r="FP3" s="105"/>
      <c r="FU3" s="223" t="s">
        <v>8</v>
      </c>
      <c r="FV3" s="223"/>
      <c r="FW3" s="223"/>
      <c r="FX3" s="223"/>
      <c r="FY3" s="223"/>
      <c r="FZ3" s="223"/>
      <c r="GA3" s="223"/>
      <c r="GB3" s="223"/>
      <c r="GC3" s="223"/>
      <c r="GD3" s="223"/>
      <c r="GE3" s="223"/>
      <c r="GF3" s="223"/>
      <c r="GG3" s="223"/>
      <c r="GH3" s="223"/>
      <c r="GI3" s="223"/>
      <c r="GJ3" s="105"/>
      <c r="GK3" s="105"/>
      <c r="GL3" s="105"/>
      <c r="GQ3" s="223" t="s">
        <v>9</v>
      </c>
      <c r="GR3" s="223"/>
      <c r="GS3" s="223"/>
      <c r="GT3" s="223"/>
      <c r="GU3" s="223"/>
      <c r="GV3" s="223"/>
      <c r="GW3" s="223"/>
      <c r="GX3" s="223"/>
      <c r="GY3" s="223"/>
      <c r="GZ3" s="223"/>
      <c r="HA3" s="223"/>
      <c r="HB3" s="223"/>
      <c r="HC3" s="223"/>
      <c r="HD3" s="223"/>
      <c r="HE3" s="223"/>
      <c r="HF3" s="105"/>
      <c r="HG3" s="105"/>
      <c r="HH3" s="105"/>
      <c r="HM3" s="223" t="s">
        <v>10</v>
      </c>
      <c r="HN3" s="223"/>
      <c r="HO3" s="223"/>
      <c r="HP3" s="223"/>
      <c r="HQ3" s="223"/>
      <c r="HR3" s="223"/>
      <c r="HS3" s="223"/>
      <c r="HT3" s="223"/>
      <c r="HU3" s="223"/>
      <c r="HV3" s="223"/>
      <c r="HW3" s="223"/>
      <c r="HX3" s="223"/>
      <c r="HY3" s="223"/>
      <c r="HZ3" s="223"/>
      <c r="IA3" s="223"/>
      <c r="IB3" s="105"/>
      <c r="IC3" s="105"/>
      <c r="ID3" s="105"/>
      <c r="II3" s="223" t="s">
        <v>11</v>
      </c>
      <c r="IJ3" s="223"/>
      <c r="IK3" s="223"/>
      <c r="IL3" s="223"/>
      <c r="IM3" s="223"/>
      <c r="IN3" s="223"/>
      <c r="IO3" s="223"/>
      <c r="IP3" s="223"/>
      <c r="IQ3" s="223"/>
      <c r="IR3" s="223"/>
      <c r="IS3" s="223"/>
      <c r="IT3" s="223"/>
      <c r="IU3" s="223"/>
      <c r="IV3" s="223"/>
      <c r="IW3" s="223"/>
      <c r="IX3" s="105"/>
      <c r="IY3" s="105"/>
      <c r="IZ3" s="105"/>
    </row>
    <row r="4" spans="1:263" ht="15" x14ac:dyDescent="0.25">
      <c r="A4" s="74" t="s">
        <v>12</v>
      </c>
      <c r="B4" s="8">
        <v>744</v>
      </c>
      <c r="C4" s="74"/>
      <c r="D4" s="74"/>
      <c r="E4" s="74"/>
      <c r="F4" s="74"/>
      <c r="G4" s="74"/>
      <c r="H4" s="74"/>
      <c r="I4" s="74"/>
      <c r="J4" s="74"/>
      <c r="K4" s="74"/>
      <c r="L4" s="74"/>
      <c r="M4" s="74"/>
      <c r="N4" s="74"/>
      <c r="O4" s="74"/>
      <c r="P4" s="74"/>
      <c r="Q4" s="74"/>
      <c r="R4" s="74"/>
      <c r="S4" s="74"/>
      <c r="W4" s="74" t="s">
        <v>12</v>
      </c>
      <c r="X4" s="8">
        <v>744</v>
      </c>
      <c r="Y4" s="74"/>
      <c r="Z4" s="74"/>
      <c r="AA4" s="74"/>
      <c r="AB4" s="74"/>
      <c r="AC4" s="74"/>
      <c r="AD4" s="74"/>
      <c r="AE4" s="74"/>
      <c r="AF4" s="74"/>
      <c r="AG4" s="74"/>
      <c r="AH4" s="74"/>
      <c r="AI4" s="74"/>
      <c r="AJ4" s="74"/>
      <c r="AK4" s="74"/>
      <c r="AL4" s="74"/>
      <c r="AM4" s="74"/>
      <c r="AN4" s="74"/>
      <c r="AO4" s="74"/>
      <c r="AS4" s="74" t="s">
        <v>12</v>
      </c>
      <c r="AT4" s="8">
        <v>720</v>
      </c>
      <c r="AU4" s="74"/>
      <c r="AV4" s="74"/>
      <c r="AW4" s="74"/>
      <c r="AX4" s="74"/>
      <c r="AY4" s="74"/>
      <c r="AZ4" s="74"/>
      <c r="BA4" s="74"/>
      <c r="BB4" s="74"/>
      <c r="BC4" s="74"/>
      <c r="BD4" s="74"/>
      <c r="BE4" s="74"/>
      <c r="BF4" s="74"/>
      <c r="BG4" s="74"/>
      <c r="BH4" s="74"/>
      <c r="BI4" s="74"/>
      <c r="BJ4" s="74"/>
      <c r="BO4" s="74" t="s">
        <v>12</v>
      </c>
      <c r="BP4" s="8">
        <v>744</v>
      </c>
      <c r="BQ4" s="74"/>
      <c r="BR4" s="74"/>
      <c r="BS4" s="74"/>
      <c r="BT4" s="74"/>
      <c r="BU4" s="74"/>
      <c r="BV4" s="74"/>
      <c r="BW4" s="74"/>
      <c r="BX4" s="74"/>
      <c r="BY4" s="74"/>
      <c r="BZ4" s="74"/>
      <c r="CA4" s="74"/>
      <c r="CB4" s="74"/>
      <c r="CC4" s="74"/>
      <c r="CD4" s="74"/>
      <c r="CE4" s="74"/>
      <c r="CF4" s="74"/>
      <c r="CK4" s="74" t="s">
        <v>12</v>
      </c>
      <c r="CL4" s="8">
        <v>720</v>
      </c>
      <c r="CM4" s="74"/>
      <c r="CN4" s="74"/>
      <c r="CO4" s="74"/>
      <c r="CP4" s="74"/>
      <c r="CQ4" s="74"/>
      <c r="CR4" s="74"/>
      <c r="CS4" s="74"/>
      <c r="CT4" s="74"/>
      <c r="CU4" s="74"/>
      <c r="CV4" s="74"/>
      <c r="CW4" s="74"/>
      <c r="CX4" s="74"/>
      <c r="CY4" s="74"/>
      <c r="CZ4" s="74"/>
      <c r="DA4" s="74"/>
      <c r="DB4" s="74"/>
      <c r="DG4" s="74" t="s">
        <v>12</v>
      </c>
      <c r="DH4" s="8">
        <v>744</v>
      </c>
      <c r="DI4" s="74"/>
      <c r="DJ4" s="74"/>
      <c r="DK4" s="74"/>
      <c r="DL4" s="74"/>
      <c r="DM4" s="74"/>
      <c r="DN4" s="74"/>
      <c r="DO4" s="74"/>
      <c r="DP4" s="74"/>
      <c r="DQ4" s="74"/>
      <c r="DR4" s="74"/>
      <c r="DS4" s="74"/>
      <c r="DT4" s="74"/>
      <c r="DU4" s="74"/>
      <c r="DV4" s="74"/>
      <c r="DW4" s="74"/>
      <c r="DX4" s="74"/>
      <c r="EC4" s="74" t="s">
        <v>12</v>
      </c>
      <c r="ED4" s="8">
        <v>744</v>
      </c>
      <c r="EE4" s="74"/>
      <c r="EF4" s="74"/>
      <c r="EG4" s="74"/>
      <c r="EH4" s="74"/>
      <c r="EI4" s="74"/>
      <c r="EJ4" s="74"/>
      <c r="EK4" s="74"/>
      <c r="EL4" s="74"/>
      <c r="EM4" s="74"/>
      <c r="EN4" s="74"/>
      <c r="EO4" s="74"/>
      <c r="EP4" s="74"/>
      <c r="EQ4" s="74"/>
      <c r="ER4" s="74"/>
      <c r="ES4" s="74"/>
      <c r="ET4" s="74"/>
      <c r="EY4" s="74" t="s">
        <v>12</v>
      </c>
      <c r="EZ4" s="8">
        <v>672</v>
      </c>
      <c r="FA4" s="74"/>
      <c r="FB4" s="74"/>
      <c r="FC4" s="74"/>
      <c r="FD4" s="74"/>
      <c r="FE4" s="74"/>
      <c r="FF4" s="74"/>
      <c r="FG4" s="74"/>
      <c r="FH4" s="74"/>
      <c r="FI4" s="74"/>
      <c r="FJ4" s="74"/>
      <c r="FK4" s="74"/>
      <c r="FL4" s="74"/>
      <c r="FM4" s="74"/>
      <c r="FN4" s="74"/>
      <c r="FO4" s="74"/>
      <c r="FP4" s="74"/>
      <c r="FU4" s="74" t="s">
        <v>12</v>
      </c>
      <c r="FV4" s="8">
        <v>744</v>
      </c>
      <c r="FW4" s="74"/>
      <c r="FX4" s="74"/>
      <c r="FY4" s="74"/>
      <c r="FZ4" s="74"/>
      <c r="GA4" s="74"/>
      <c r="GB4" s="74"/>
      <c r="GC4" s="74"/>
      <c r="GD4" s="74"/>
      <c r="GE4" s="74"/>
      <c r="GF4" s="74"/>
      <c r="GG4" s="74"/>
      <c r="GH4" s="74"/>
      <c r="GI4" s="74"/>
      <c r="GJ4" s="74"/>
      <c r="GK4" s="74"/>
      <c r="GL4" s="74"/>
      <c r="GQ4" s="74" t="s">
        <v>12</v>
      </c>
      <c r="GR4" s="8">
        <v>720</v>
      </c>
      <c r="GS4" s="74"/>
      <c r="GT4" s="74"/>
      <c r="GU4" s="74"/>
      <c r="GV4" s="74"/>
      <c r="GW4" s="74"/>
      <c r="GX4" s="74"/>
      <c r="GY4" s="74"/>
      <c r="GZ4" s="74"/>
      <c r="HA4" s="74"/>
      <c r="HB4" s="74"/>
      <c r="HC4" s="74"/>
      <c r="HD4" s="74"/>
      <c r="HE4" s="74"/>
      <c r="HF4" s="74"/>
      <c r="HG4" s="74"/>
      <c r="HH4" s="74"/>
      <c r="HM4" s="74" t="s">
        <v>12</v>
      </c>
      <c r="HN4" s="8">
        <v>744</v>
      </c>
      <c r="HO4" s="74"/>
      <c r="HP4" s="74"/>
      <c r="HQ4" s="74"/>
      <c r="HR4" s="74"/>
      <c r="HS4" s="74"/>
      <c r="HT4" s="74"/>
      <c r="HU4" s="74"/>
      <c r="HV4" s="74"/>
      <c r="HW4" s="74"/>
      <c r="HX4" s="74"/>
      <c r="HY4" s="74"/>
      <c r="HZ4" s="74"/>
      <c r="IA4" s="74"/>
      <c r="IB4" s="74"/>
      <c r="IC4" s="74"/>
      <c r="ID4" s="74"/>
      <c r="II4" s="74" t="s">
        <v>12</v>
      </c>
      <c r="IJ4" s="8">
        <v>720</v>
      </c>
      <c r="IL4" s="74"/>
      <c r="IM4" s="74"/>
      <c r="IN4" s="74"/>
      <c r="IO4" s="74"/>
      <c r="IP4" s="74"/>
      <c r="IQ4" s="74"/>
      <c r="IR4" s="74"/>
      <c r="IS4" s="74"/>
      <c r="IT4" s="74"/>
      <c r="IU4" s="74"/>
      <c r="IV4" s="74"/>
      <c r="IW4" s="74"/>
      <c r="IX4" s="74"/>
      <c r="IY4" s="74"/>
      <c r="IZ4" s="74"/>
    </row>
    <row r="5" spans="1:263" ht="45" x14ac:dyDescent="0.25">
      <c r="A5" s="10" t="s">
        <v>13</v>
      </c>
      <c r="B5" s="11" t="s">
        <v>14</v>
      </c>
      <c r="C5" s="11" t="s">
        <v>15</v>
      </c>
      <c r="D5" s="11" t="s">
        <v>16</v>
      </c>
      <c r="E5" s="11" t="s">
        <v>17</v>
      </c>
      <c r="F5" s="11" t="s">
        <v>18</v>
      </c>
      <c r="G5" s="11" t="s">
        <v>19</v>
      </c>
      <c r="H5" s="11" t="s">
        <v>20</v>
      </c>
      <c r="I5" s="11" t="s">
        <v>21</v>
      </c>
      <c r="J5" s="11" t="s">
        <v>22</v>
      </c>
      <c r="K5" s="11" t="s">
        <v>23</v>
      </c>
      <c r="L5" s="11" t="s">
        <v>24</v>
      </c>
      <c r="M5" s="11" t="s">
        <v>25</v>
      </c>
      <c r="N5" s="11" t="s">
        <v>26</v>
      </c>
      <c r="O5" s="11" t="s">
        <v>27</v>
      </c>
      <c r="P5" s="11" t="s">
        <v>82</v>
      </c>
      <c r="Q5" s="12" t="s">
        <v>28</v>
      </c>
      <c r="R5" s="16" t="s">
        <v>83</v>
      </c>
      <c r="S5" s="66" t="s">
        <v>29</v>
      </c>
      <c r="T5" s="13" t="s">
        <v>30</v>
      </c>
      <c r="U5" s="14" t="s">
        <v>31</v>
      </c>
      <c r="W5" s="10" t="s">
        <v>13</v>
      </c>
      <c r="X5" s="11" t="s">
        <v>14</v>
      </c>
      <c r="Y5" s="11" t="s">
        <v>15</v>
      </c>
      <c r="Z5" s="11" t="s">
        <v>16</v>
      </c>
      <c r="AA5" s="11" t="s">
        <v>17</v>
      </c>
      <c r="AB5" s="11" t="s">
        <v>18</v>
      </c>
      <c r="AC5" s="11" t="s">
        <v>19</v>
      </c>
      <c r="AD5" s="11" t="s">
        <v>20</v>
      </c>
      <c r="AE5" s="11" t="s">
        <v>21</v>
      </c>
      <c r="AF5" s="11" t="s">
        <v>22</v>
      </c>
      <c r="AG5" s="11" t="s">
        <v>23</v>
      </c>
      <c r="AH5" s="11" t="s">
        <v>24</v>
      </c>
      <c r="AI5" s="11" t="s">
        <v>25</v>
      </c>
      <c r="AJ5" s="11" t="s">
        <v>26</v>
      </c>
      <c r="AK5" s="11" t="s">
        <v>27</v>
      </c>
      <c r="AL5" s="11" t="s">
        <v>82</v>
      </c>
      <c r="AM5" s="12" t="s">
        <v>28</v>
      </c>
      <c r="AN5" s="16" t="s">
        <v>83</v>
      </c>
      <c r="AO5" s="66" t="s">
        <v>29</v>
      </c>
      <c r="AP5" s="13" t="s">
        <v>30</v>
      </c>
      <c r="AQ5" s="14" t="s">
        <v>31</v>
      </c>
      <c r="AS5" s="10" t="s">
        <v>13</v>
      </c>
      <c r="AT5" s="11" t="s">
        <v>14</v>
      </c>
      <c r="AU5" s="11" t="s">
        <v>15</v>
      </c>
      <c r="AV5" s="11" t="s">
        <v>16</v>
      </c>
      <c r="AW5" s="11" t="s">
        <v>17</v>
      </c>
      <c r="AX5" s="11" t="s">
        <v>18</v>
      </c>
      <c r="AY5" s="11" t="s">
        <v>19</v>
      </c>
      <c r="AZ5" s="11" t="s">
        <v>20</v>
      </c>
      <c r="BA5" s="11" t="s">
        <v>21</v>
      </c>
      <c r="BB5" s="11" t="s">
        <v>22</v>
      </c>
      <c r="BC5" s="11" t="s">
        <v>23</v>
      </c>
      <c r="BD5" s="11" t="s">
        <v>24</v>
      </c>
      <c r="BE5" s="11" t="s">
        <v>25</v>
      </c>
      <c r="BF5" s="11" t="s">
        <v>26</v>
      </c>
      <c r="BG5" s="11" t="s">
        <v>27</v>
      </c>
      <c r="BH5" s="11" t="s">
        <v>82</v>
      </c>
      <c r="BI5" s="12" t="s">
        <v>28</v>
      </c>
      <c r="BJ5" s="16" t="s">
        <v>83</v>
      </c>
      <c r="BK5" s="66" t="s">
        <v>29</v>
      </c>
      <c r="BL5" s="13" t="s">
        <v>30</v>
      </c>
      <c r="BM5" s="14" t="s">
        <v>31</v>
      </c>
      <c r="BO5" s="10" t="s">
        <v>13</v>
      </c>
      <c r="BP5" s="11" t="s">
        <v>14</v>
      </c>
      <c r="BQ5" s="11" t="s">
        <v>15</v>
      </c>
      <c r="BR5" s="11" t="s">
        <v>16</v>
      </c>
      <c r="BS5" s="11" t="s">
        <v>17</v>
      </c>
      <c r="BT5" s="11" t="s">
        <v>18</v>
      </c>
      <c r="BU5" s="11" t="s">
        <v>19</v>
      </c>
      <c r="BV5" s="11" t="s">
        <v>20</v>
      </c>
      <c r="BW5" s="11" t="s">
        <v>21</v>
      </c>
      <c r="BX5" s="11" t="s">
        <v>22</v>
      </c>
      <c r="BY5" s="11" t="s">
        <v>23</v>
      </c>
      <c r="BZ5" s="11" t="s">
        <v>24</v>
      </c>
      <c r="CA5" s="11" t="s">
        <v>25</v>
      </c>
      <c r="CB5" s="11" t="s">
        <v>26</v>
      </c>
      <c r="CC5" s="11" t="s">
        <v>27</v>
      </c>
      <c r="CD5" s="11" t="s">
        <v>82</v>
      </c>
      <c r="CE5" s="12" t="s">
        <v>28</v>
      </c>
      <c r="CF5" s="16" t="s">
        <v>83</v>
      </c>
      <c r="CG5" s="66" t="s">
        <v>29</v>
      </c>
      <c r="CH5" s="13" t="s">
        <v>30</v>
      </c>
      <c r="CI5" s="14" t="s">
        <v>31</v>
      </c>
      <c r="CK5" s="10" t="s">
        <v>13</v>
      </c>
      <c r="CL5" s="11" t="s">
        <v>14</v>
      </c>
      <c r="CM5" s="11" t="s">
        <v>15</v>
      </c>
      <c r="CN5" s="11" t="s">
        <v>16</v>
      </c>
      <c r="CO5" s="11" t="s">
        <v>17</v>
      </c>
      <c r="CP5" s="11" t="s">
        <v>18</v>
      </c>
      <c r="CQ5" s="11" t="s">
        <v>19</v>
      </c>
      <c r="CR5" s="11" t="s">
        <v>20</v>
      </c>
      <c r="CS5" s="11" t="s">
        <v>21</v>
      </c>
      <c r="CT5" s="11" t="s">
        <v>22</v>
      </c>
      <c r="CU5" s="11" t="s">
        <v>23</v>
      </c>
      <c r="CV5" s="11" t="s">
        <v>24</v>
      </c>
      <c r="CW5" s="11" t="s">
        <v>25</v>
      </c>
      <c r="CX5" s="11" t="s">
        <v>26</v>
      </c>
      <c r="CY5" s="11" t="s">
        <v>27</v>
      </c>
      <c r="CZ5" s="11" t="s">
        <v>82</v>
      </c>
      <c r="DA5" s="12" t="s">
        <v>28</v>
      </c>
      <c r="DB5" s="16" t="s">
        <v>83</v>
      </c>
      <c r="DC5" s="66" t="s">
        <v>29</v>
      </c>
      <c r="DD5" s="13" t="s">
        <v>30</v>
      </c>
      <c r="DE5" s="14" t="s">
        <v>31</v>
      </c>
      <c r="DG5" s="10" t="s">
        <v>13</v>
      </c>
      <c r="DH5" s="11" t="s">
        <v>14</v>
      </c>
      <c r="DI5" s="11" t="s">
        <v>15</v>
      </c>
      <c r="DJ5" s="11" t="s">
        <v>16</v>
      </c>
      <c r="DK5" s="11" t="s">
        <v>17</v>
      </c>
      <c r="DL5" s="11" t="s">
        <v>18</v>
      </c>
      <c r="DM5" s="11" t="s">
        <v>19</v>
      </c>
      <c r="DN5" s="11" t="s">
        <v>20</v>
      </c>
      <c r="DO5" s="11" t="s">
        <v>21</v>
      </c>
      <c r="DP5" s="11" t="s">
        <v>22</v>
      </c>
      <c r="DQ5" s="11" t="s">
        <v>23</v>
      </c>
      <c r="DR5" s="11" t="s">
        <v>24</v>
      </c>
      <c r="DS5" s="11" t="s">
        <v>25</v>
      </c>
      <c r="DT5" s="11" t="s">
        <v>26</v>
      </c>
      <c r="DU5" s="11" t="s">
        <v>27</v>
      </c>
      <c r="DV5" s="11" t="s">
        <v>82</v>
      </c>
      <c r="DW5" s="12" t="s">
        <v>28</v>
      </c>
      <c r="DX5" s="16" t="s">
        <v>83</v>
      </c>
      <c r="DY5" s="66" t="s">
        <v>29</v>
      </c>
      <c r="DZ5" s="13" t="s">
        <v>30</v>
      </c>
      <c r="EA5" s="14" t="s">
        <v>31</v>
      </c>
      <c r="EC5" s="10" t="s">
        <v>13</v>
      </c>
      <c r="ED5" s="11" t="s">
        <v>14</v>
      </c>
      <c r="EE5" s="11" t="s">
        <v>15</v>
      </c>
      <c r="EF5" s="11" t="s">
        <v>16</v>
      </c>
      <c r="EG5" s="11" t="s">
        <v>17</v>
      </c>
      <c r="EH5" s="11" t="s">
        <v>18</v>
      </c>
      <c r="EI5" s="11" t="s">
        <v>19</v>
      </c>
      <c r="EJ5" s="11" t="s">
        <v>20</v>
      </c>
      <c r="EK5" s="11" t="s">
        <v>21</v>
      </c>
      <c r="EL5" s="11" t="s">
        <v>22</v>
      </c>
      <c r="EM5" s="11" t="s">
        <v>23</v>
      </c>
      <c r="EN5" s="11" t="s">
        <v>24</v>
      </c>
      <c r="EO5" s="11" t="s">
        <v>25</v>
      </c>
      <c r="EP5" s="11" t="s">
        <v>26</v>
      </c>
      <c r="EQ5" s="11" t="s">
        <v>27</v>
      </c>
      <c r="ER5" s="11" t="s">
        <v>82</v>
      </c>
      <c r="ES5" s="12" t="s">
        <v>28</v>
      </c>
      <c r="ET5" s="16" t="s">
        <v>83</v>
      </c>
      <c r="EU5" s="66" t="s">
        <v>29</v>
      </c>
      <c r="EV5" s="13" t="s">
        <v>30</v>
      </c>
      <c r="EW5" s="14" t="s">
        <v>31</v>
      </c>
      <c r="EY5" s="10" t="s">
        <v>13</v>
      </c>
      <c r="EZ5" s="11" t="s">
        <v>14</v>
      </c>
      <c r="FA5" s="11" t="s">
        <v>15</v>
      </c>
      <c r="FB5" s="11" t="s">
        <v>16</v>
      </c>
      <c r="FC5" s="11" t="s">
        <v>17</v>
      </c>
      <c r="FD5" s="11" t="s">
        <v>18</v>
      </c>
      <c r="FE5" s="11" t="s">
        <v>19</v>
      </c>
      <c r="FF5" s="11" t="s">
        <v>20</v>
      </c>
      <c r="FG5" s="11" t="s">
        <v>21</v>
      </c>
      <c r="FH5" s="11" t="s">
        <v>22</v>
      </c>
      <c r="FI5" s="11" t="s">
        <v>23</v>
      </c>
      <c r="FJ5" s="11" t="s">
        <v>24</v>
      </c>
      <c r="FK5" s="11" t="s">
        <v>25</v>
      </c>
      <c r="FL5" s="11" t="s">
        <v>26</v>
      </c>
      <c r="FM5" s="11" t="s">
        <v>27</v>
      </c>
      <c r="FN5" s="11" t="s">
        <v>82</v>
      </c>
      <c r="FO5" s="12" t="s">
        <v>28</v>
      </c>
      <c r="FP5" s="16" t="s">
        <v>83</v>
      </c>
      <c r="FQ5" s="66" t="s">
        <v>29</v>
      </c>
      <c r="FR5" s="13" t="s">
        <v>30</v>
      </c>
      <c r="FS5" s="14" t="s">
        <v>31</v>
      </c>
      <c r="FU5" s="10" t="s">
        <v>13</v>
      </c>
      <c r="FV5" s="11" t="s">
        <v>14</v>
      </c>
      <c r="FW5" s="11" t="s">
        <v>15</v>
      </c>
      <c r="FX5" s="11" t="s">
        <v>16</v>
      </c>
      <c r="FY5" s="11" t="s">
        <v>17</v>
      </c>
      <c r="FZ5" s="11" t="s">
        <v>18</v>
      </c>
      <c r="GA5" s="11" t="s">
        <v>19</v>
      </c>
      <c r="GB5" s="11" t="s">
        <v>20</v>
      </c>
      <c r="GC5" s="11" t="s">
        <v>21</v>
      </c>
      <c r="GD5" s="11" t="s">
        <v>22</v>
      </c>
      <c r="GE5" s="11" t="s">
        <v>23</v>
      </c>
      <c r="GF5" s="11" t="s">
        <v>24</v>
      </c>
      <c r="GG5" s="11" t="s">
        <v>25</v>
      </c>
      <c r="GH5" s="11" t="s">
        <v>26</v>
      </c>
      <c r="GI5" s="11" t="s">
        <v>27</v>
      </c>
      <c r="GJ5" s="11" t="s">
        <v>82</v>
      </c>
      <c r="GK5" s="12" t="s">
        <v>28</v>
      </c>
      <c r="GL5" s="16" t="s">
        <v>83</v>
      </c>
      <c r="GM5" s="66" t="s">
        <v>29</v>
      </c>
      <c r="GN5" s="13" t="s">
        <v>30</v>
      </c>
      <c r="GO5" s="14" t="s">
        <v>31</v>
      </c>
      <c r="GQ5" s="10" t="s">
        <v>13</v>
      </c>
      <c r="GR5" s="11" t="s">
        <v>14</v>
      </c>
      <c r="GS5" s="11" t="s">
        <v>15</v>
      </c>
      <c r="GT5" s="11" t="s">
        <v>16</v>
      </c>
      <c r="GU5" s="11" t="s">
        <v>17</v>
      </c>
      <c r="GV5" s="11" t="s">
        <v>18</v>
      </c>
      <c r="GW5" s="11" t="s">
        <v>19</v>
      </c>
      <c r="GX5" s="11" t="s">
        <v>20</v>
      </c>
      <c r="GY5" s="11" t="s">
        <v>21</v>
      </c>
      <c r="GZ5" s="11" t="s">
        <v>22</v>
      </c>
      <c r="HA5" s="11" t="s">
        <v>23</v>
      </c>
      <c r="HB5" s="11" t="s">
        <v>24</v>
      </c>
      <c r="HC5" s="11" t="s">
        <v>25</v>
      </c>
      <c r="HD5" s="11" t="s">
        <v>26</v>
      </c>
      <c r="HE5" s="11" t="s">
        <v>27</v>
      </c>
      <c r="HF5" s="11" t="s">
        <v>82</v>
      </c>
      <c r="HG5" s="12" t="s">
        <v>28</v>
      </c>
      <c r="HH5" s="16" t="s">
        <v>83</v>
      </c>
      <c r="HI5" s="66" t="s">
        <v>29</v>
      </c>
      <c r="HJ5" s="13" t="s">
        <v>30</v>
      </c>
      <c r="HK5" s="14" t="s">
        <v>31</v>
      </c>
      <c r="HM5" s="10" t="s">
        <v>13</v>
      </c>
      <c r="HN5" s="11" t="s">
        <v>14</v>
      </c>
      <c r="HO5" s="11" t="s">
        <v>15</v>
      </c>
      <c r="HP5" s="11" t="s">
        <v>16</v>
      </c>
      <c r="HQ5" s="11" t="s">
        <v>17</v>
      </c>
      <c r="HR5" s="11" t="s">
        <v>18</v>
      </c>
      <c r="HS5" s="11" t="s">
        <v>19</v>
      </c>
      <c r="HT5" s="11" t="s">
        <v>20</v>
      </c>
      <c r="HU5" s="11" t="s">
        <v>21</v>
      </c>
      <c r="HV5" s="11" t="s">
        <v>22</v>
      </c>
      <c r="HW5" s="11" t="s">
        <v>23</v>
      </c>
      <c r="HX5" s="11" t="s">
        <v>24</v>
      </c>
      <c r="HY5" s="11" t="s">
        <v>25</v>
      </c>
      <c r="HZ5" s="11" t="s">
        <v>26</v>
      </c>
      <c r="IA5" s="11" t="s">
        <v>27</v>
      </c>
      <c r="IB5" s="11" t="s">
        <v>82</v>
      </c>
      <c r="IC5" s="12" t="s">
        <v>28</v>
      </c>
      <c r="ID5" s="16" t="s">
        <v>83</v>
      </c>
      <c r="IE5" s="66" t="s">
        <v>29</v>
      </c>
      <c r="IF5" s="13" t="s">
        <v>30</v>
      </c>
      <c r="IG5" s="14" t="s">
        <v>31</v>
      </c>
      <c r="II5" s="10" t="s">
        <v>13</v>
      </c>
      <c r="IJ5" s="11" t="s">
        <v>14</v>
      </c>
      <c r="IK5" s="11" t="s">
        <v>15</v>
      </c>
      <c r="IL5" s="11" t="s">
        <v>16</v>
      </c>
      <c r="IM5" s="11" t="s">
        <v>17</v>
      </c>
      <c r="IN5" s="11" t="s">
        <v>18</v>
      </c>
      <c r="IO5" s="11" t="s">
        <v>19</v>
      </c>
      <c r="IP5" s="11" t="s">
        <v>20</v>
      </c>
      <c r="IQ5" s="11" t="s">
        <v>21</v>
      </c>
      <c r="IR5" s="11" t="s">
        <v>22</v>
      </c>
      <c r="IS5" s="11" t="s">
        <v>23</v>
      </c>
      <c r="IT5" s="11" t="s">
        <v>24</v>
      </c>
      <c r="IU5" s="11" t="s">
        <v>25</v>
      </c>
      <c r="IV5" s="11" t="s">
        <v>26</v>
      </c>
      <c r="IW5" s="11" t="s">
        <v>27</v>
      </c>
      <c r="IX5" s="11" t="s">
        <v>82</v>
      </c>
      <c r="IY5" s="12" t="s">
        <v>28</v>
      </c>
      <c r="IZ5" s="16" t="s">
        <v>83</v>
      </c>
      <c r="JA5" s="66" t="s">
        <v>29</v>
      </c>
      <c r="JB5" s="13" t="s">
        <v>30</v>
      </c>
      <c r="JC5" s="14" t="s">
        <v>31</v>
      </c>
    </row>
    <row r="6" spans="1:263" ht="15" x14ac:dyDescent="0.25">
      <c r="A6" s="16" t="s">
        <v>33</v>
      </c>
      <c r="B6" s="17" t="s">
        <v>34</v>
      </c>
      <c r="C6" s="6">
        <v>725.2</v>
      </c>
      <c r="D6" s="6">
        <v>725.2</v>
      </c>
      <c r="E6" s="6">
        <v>0</v>
      </c>
      <c r="F6" s="8">
        <v>18.8</v>
      </c>
      <c r="G6" s="6">
        <f t="shared" ref="G6:G11" si="0">(F6/$B$4)</f>
        <v>2.5268817204301075E-2</v>
      </c>
      <c r="H6" s="8">
        <v>0</v>
      </c>
      <c r="I6" s="6">
        <f t="shared" ref="I6:I11" si="1">(H6/$B$4)</f>
        <v>0</v>
      </c>
      <c r="J6" s="15">
        <v>0</v>
      </c>
      <c r="K6" s="6">
        <f t="shared" ref="K6:K11" si="2">(J6/$B$4)</f>
        <v>0</v>
      </c>
      <c r="L6" s="8">
        <v>61</v>
      </c>
      <c r="M6" s="69">
        <f>(C6/$B$4)</f>
        <v>0.97473118279569904</v>
      </c>
      <c r="N6" s="69">
        <f>((C6-L6)/$B$4)</f>
        <v>0.89274193548387104</v>
      </c>
      <c r="O6" s="149">
        <f>IF((AND(D6=0,F6=0)),0,(F6+L6)/(D6+F6+L6))</f>
        <v>9.913043478260869E-2</v>
      </c>
      <c r="P6" s="149">
        <f t="shared" ref="P6:P11" si="3">L6/$B$4</f>
        <v>8.1989247311827954E-2</v>
      </c>
      <c r="Q6" s="69">
        <f>(T6/($B$4*U6))</f>
        <v>0.8031838037634409</v>
      </c>
      <c r="R6" s="15">
        <v>1</v>
      </c>
      <c r="S6" s="6">
        <f>SUM(D6:F6,H6,J6)</f>
        <v>744</v>
      </c>
      <c r="T6" s="86">
        <v>95611</v>
      </c>
      <c r="U6" s="20">
        <v>160</v>
      </c>
      <c r="W6" s="16" t="s">
        <v>33</v>
      </c>
      <c r="X6" s="17" t="s">
        <v>34</v>
      </c>
      <c r="Y6" s="6">
        <f>$X$4-AB6-AD6-AF6</f>
        <v>732.1</v>
      </c>
      <c r="Z6" s="8">
        <v>732.1</v>
      </c>
      <c r="AA6" s="8">
        <v>0</v>
      </c>
      <c r="AB6" s="8">
        <v>11.9</v>
      </c>
      <c r="AC6" s="6">
        <f>(AB6/$X$4)</f>
        <v>1.5994623655913979E-2</v>
      </c>
      <c r="AD6" s="8">
        <v>0</v>
      </c>
      <c r="AE6" s="6">
        <f>(AD6/$X$4)</f>
        <v>0</v>
      </c>
      <c r="AF6" s="6">
        <v>0</v>
      </c>
      <c r="AG6" s="6">
        <f>(AF6/$X$4)</f>
        <v>0</v>
      </c>
      <c r="AH6" s="8">
        <v>0</v>
      </c>
      <c r="AI6" s="69">
        <f>(Y6/$X$4)</f>
        <v>0.98400537634408602</v>
      </c>
      <c r="AJ6" s="69">
        <f>((Y6-AH6)/$X$4)</f>
        <v>0.98400537634408602</v>
      </c>
      <c r="AK6" s="149">
        <f>IF((AND(Z6=0,AB6=0)),0,(AB6+AH6)/(Z6+AB6+AH6))</f>
        <v>1.5994623655913979E-2</v>
      </c>
      <c r="AL6" s="149">
        <f>AH6/$X$4</f>
        <v>0</v>
      </c>
      <c r="AM6" s="69">
        <f>(AP6/($X$4*AQ6))</f>
        <v>0.80625840053763442</v>
      </c>
      <c r="AN6" s="15">
        <v>1</v>
      </c>
      <c r="AO6" s="6">
        <f>SUM(Z6:AB6,AD6,AF6)</f>
        <v>744</v>
      </c>
      <c r="AP6" s="86">
        <v>95977</v>
      </c>
      <c r="AQ6" s="20">
        <v>160</v>
      </c>
      <c r="AS6" s="16" t="s">
        <v>33</v>
      </c>
      <c r="AT6" s="17" t="s">
        <v>34</v>
      </c>
      <c r="AU6" s="8">
        <v>720</v>
      </c>
      <c r="AV6" s="8">
        <v>720</v>
      </c>
      <c r="AW6" s="8">
        <v>0</v>
      </c>
      <c r="AX6" s="8">
        <v>0</v>
      </c>
      <c r="AY6" s="6">
        <f>(AX6/$AT$4)</f>
        <v>0</v>
      </c>
      <c r="AZ6" s="8">
        <v>0</v>
      </c>
      <c r="BA6" s="6">
        <f>(AZ6/$AT$4)</f>
        <v>0</v>
      </c>
      <c r="BB6" s="6">
        <v>0</v>
      </c>
      <c r="BC6" s="6">
        <f>(BB6/$AT$4)</f>
        <v>0</v>
      </c>
      <c r="BD6" s="8">
        <v>0</v>
      </c>
      <c r="BE6" s="69">
        <f>(AU6/$AT$4)</f>
        <v>1</v>
      </c>
      <c r="BF6" s="69">
        <f>((AU6-BD6)/$AT$4)</f>
        <v>1</v>
      </c>
      <c r="BG6" s="149">
        <f>IF((AND(AV6=0,AX6=0)),0,(AX6+BD6)/(AV6+AX6+BD6))</f>
        <v>0</v>
      </c>
      <c r="BH6" s="149">
        <f>BD6/$AT$4</f>
        <v>0</v>
      </c>
      <c r="BI6" s="69">
        <f>(BL6/($AT$4*BM6))</f>
        <v>0.86226562500000004</v>
      </c>
      <c r="BJ6" s="6"/>
      <c r="BK6" s="6">
        <f>SUM(AV6:AX6,AZ6,BB6)</f>
        <v>720</v>
      </c>
      <c r="BL6" s="86">
        <v>99333</v>
      </c>
      <c r="BM6" s="20">
        <v>160</v>
      </c>
      <c r="BO6" s="16" t="s">
        <v>33</v>
      </c>
      <c r="BP6" s="17" t="s">
        <v>34</v>
      </c>
      <c r="BQ6" s="8">
        <v>693.1</v>
      </c>
      <c r="BR6" s="8">
        <v>693.1</v>
      </c>
      <c r="BS6" s="8">
        <v>0</v>
      </c>
      <c r="BT6" s="8">
        <v>5.0999999999999996</v>
      </c>
      <c r="BU6" s="69">
        <f>(BT6/$BP$4)</f>
        <v>6.8548387096774186E-3</v>
      </c>
      <c r="BV6" s="8">
        <v>0</v>
      </c>
      <c r="BW6" s="69">
        <f>(BV6/$BP$4)</f>
        <v>0</v>
      </c>
      <c r="BX6" s="6">
        <v>45.8</v>
      </c>
      <c r="BY6" s="69">
        <f>(BX6/$BP$4)</f>
        <v>6.1559139784946232E-2</v>
      </c>
      <c r="BZ6" s="8">
        <v>41</v>
      </c>
      <c r="CA6" s="69">
        <f>(BQ6/$BP$4)</f>
        <v>0.93158602150537639</v>
      </c>
      <c r="CB6" s="69">
        <f>((BQ6-BZ6)/$BP$4)</f>
        <v>0.8764784946236559</v>
      </c>
      <c r="CC6" s="149">
        <f>IF((AND(BR6=0,BT6=0)),0,(BT6+BZ6)/(BR6+BT6+BZ6))</f>
        <v>6.2364718614718616E-2</v>
      </c>
      <c r="CD6" s="149">
        <f>BZ6/$BP$4</f>
        <v>5.510752688172043E-2</v>
      </c>
      <c r="CE6" s="69">
        <f>(CH6/($BP$4*CI6))</f>
        <v>0.75551915322580643</v>
      </c>
      <c r="CF6" s="69"/>
      <c r="CG6" s="42">
        <f>SUM(BR6:BT6,BV6,BX6)</f>
        <v>744</v>
      </c>
      <c r="CH6" s="86">
        <v>89937</v>
      </c>
      <c r="CI6" s="20">
        <v>160</v>
      </c>
      <c r="CK6" s="16" t="s">
        <v>33</v>
      </c>
      <c r="CL6" s="17" t="s">
        <v>34</v>
      </c>
      <c r="CM6" s="8">
        <v>632.79999999999995</v>
      </c>
      <c r="CN6" s="8">
        <v>632.79999999999995</v>
      </c>
      <c r="CO6" s="8">
        <v>0</v>
      </c>
      <c r="CP6" s="8">
        <v>3.1</v>
      </c>
      <c r="CQ6" s="6">
        <f>(CP6/$CL$4)</f>
        <v>4.3055555555555555E-3</v>
      </c>
      <c r="CR6" s="8">
        <v>0</v>
      </c>
      <c r="CS6" s="6">
        <f>(CR6/$CL$4)</f>
        <v>0</v>
      </c>
      <c r="CT6" s="6">
        <v>84.1</v>
      </c>
      <c r="CU6" s="6">
        <f>(CT6/$CL$4)</f>
        <v>0.11680555555555555</v>
      </c>
      <c r="CV6" s="8">
        <v>0</v>
      </c>
      <c r="CW6" s="69">
        <f>(CM6/$CL$4)</f>
        <v>0.87888888888888883</v>
      </c>
      <c r="CX6" s="69">
        <f>((CM6-CV6)/$CL$4)</f>
        <v>0.87888888888888883</v>
      </c>
      <c r="CY6" s="149">
        <f>IF((AND(CN6=0,CP6=0)),0,(CP6+CV6)/(CN6+CP6+CV6))</f>
        <v>4.8749803428211986E-3</v>
      </c>
      <c r="CZ6" s="149">
        <f>CV6/$CL$4</f>
        <v>0</v>
      </c>
      <c r="DA6" s="69">
        <f>(DD6/($CL$4*DE6))</f>
        <v>0.71934027777777776</v>
      </c>
      <c r="DB6" s="6"/>
      <c r="DC6" s="6">
        <f>SUM(CN6:CP6,CR6,CT6)</f>
        <v>720</v>
      </c>
      <c r="DD6" s="86">
        <v>82868</v>
      </c>
      <c r="DE6" s="20">
        <v>160</v>
      </c>
      <c r="DG6" s="16" t="s">
        <v>33</v>
      </c>
      <c r="DH6" s="17" t="s">
        <v>34</v>
      </c>
      <c r="DI6" s="8">
        <v>727</v>
      </c>
      <c r="DJ6" s="8">
        <v>727</v>
      </c>
      <c r="DK6" s="8">
        <v>0</v>
      </c>
      <c r="DL6" s="8">
        <v>17</v>
      </c>
      <c r="DM6" s="69">
        <f>(DL6/$DH$4)</f>
        <v>2.2849462365591398E-2</v>
      </c>
      <c r="DN6" s="8">
        <v>0</v>
      </c>
      <c r="DO6" s="69">
        <f>(DN6/$DH$4)</f>
        <v>0</v>
      </c>
      <c r="DP6" s="6">
        <v>0</v>
      </c>
      <c r="DQ6" s="69">
        <f>(DP6/$DH$4)</f>
        <v>0</v>
      </c>
      <c r="DR6" s="8">
        <v>0</v>
      </c>
      <c r="DS6" s="69">
        <f>(DI6/$X$4)</f>
        <v>0.97715053763440862</v>
      </c>
      <c r="DT6" s="69">
        <f>((DI6-DR6)/$DH$4)</f>
        <v>0.97715053763440862</v>
      </c>
      <c r="DU6" s="149">
        <f>IF((AND(DJ6=0,DL6=0)),0,(DL6+DR6)/(DJ6+DL6+DR6))</f>
        <v>2.2849462365591398E-2</v>
      </c>
      <c r="DV6" s="149">
        <f>DR6/$DH$4</f>
        <v>0</v>
      </c>
      <c r="DW6" s="69">
        <f>(DZ6/($DH$4*EA6))</f>
        <v>0.82258064516129037</v>
      </c>
      <c r="DX6" s="69"/>
      <c r="DY6" s="6">
        <f>SUM(DJ6:DL6,DN6,DP6)</f>
        <v>744</v>
      </c>
      <c r="DZ6" s="86">
        <v>97920</v>
      </c>
      <c r="EA6" s="20">
        <v>160</v>
      </c>
      <c r="EC6" s="16" t="s">
        <v>33</v>
      </c>
      <c r="ED6" s="17" t="s">
        <v>34</v>
      </c>
      <c r="EE6" s="8">
        <v>703.7</v>
      </c>
      <c r="EF6" s="8">
        <v>700.1</v>
      </c>
      <c r="EG6" s="8">
        <v>3.6</v>
      </c>
      <c r="EH6" s="8">
        <v>23</v>
      </c>
      <c r="EI6" s="6">
        <f>(EH6/$ED$4)</f>
        <v>3.0913978494623656E-2</v>
      </c>
      <c r="EJ6" s="8">
        <v>0</v>
      </c>
      <c r="EK6" s="6">
        <f>(EJ6/$ED$4)</f>
        <v>0</v>
      </c>
      <c r="EL6" s="6">
        <v>17.3</v>
      </c>
      <c r="EM6" s="6">
        <f>(EL6/$ED$4)</f>
        <v>2.3252688172043012E-2</v>
      </c>
      <c r="EN6" s="8">
        <v>16.84</v>
      </c>
      <c r="EO6" s="69">
        <f>(EE6/$X$4)</f>
        <v>0.94583333333333341</v>
      </c>
      <c r="EP6" s="69">
        <f>((EE6-EN6)/$ED$4)</f>
        <v>0.92319892473118281</v>
      </c>
      <c r="EQ6" s="149">
        <f>IF((AND(EF6=0,EH6=0)),0,(EH6+EN6)/(EF6+EH6+EN6))</f>
        <v>5.3842203421899076E-2</v>
      </c>
      <c r="ER6" s="149">
        <f>EN6/$ED$4</f>
        <v>2.2634408602150536E-2</v>
      </c>
      <c r="ES6" s="69">
        <f>(EV6/($ED$4*EW6))</f>
        <v>0.7504536290322581</v>
      </c>
      <c r="ET6" s="6"/>
      <c r="EU6" s="6">
        <f>SUM(EF6:EH6,EJ6,EL6)</f>
        <v>744</v>
      </c>
      <c r="EV6" s="86">
        <v>89334</v>
      </c>
      <c r="EW6" s="20">
        <v>160</v>
      </c>
      <c r="EY6" s="16" t="s">
        <v>33</v>
      </c>
      <c r="EZ6" s="17" t="s">
        <v>34</v>
      </c>
      <c r="FA6" s="8">
        <v>611.5</v>
      </c>
      <c r="FB6" s="8">
        <v>611.5</v>
      </c>
      <c r="FC6" s="8">
        <v>0</v>
      </c>
      <c r="FD6" s="8">
        <v>60.5</v>
      </c>
      <c r="FE6" s="6">
        <f>(FD6/$EZ$4)</f>
        <v>9.0029761904761904E-2</v>
      </c>
      <c r="FF6" s="8">
        <v>0</v>
      </c>
      <c r="FG6" s="6">
        <f>(FF6/$EZ$4)</f>
        <v>0</v>
      </c>
      <c r="FH6" s="6">
        <v>0</v>
      </c>
      <c r="FI6" s="6">
        <f>(FH6/$EZ$4)</f>
        <v>0</v>
      </c>
      <c r="FJ6" s="8">
        <v>0.6</v>
      </c>
      <c r="FK6" s="69">
        <f>(FA6/$X$4)</f>
        <v>0.82190860215053763</v>
      </c>
      <c r="FL6" s="69">
        <f>((FA6-FJ6)/$EZ$4)</f>
        <v>0.90907738095238089</v>
      </c>
      <c r="FM6" s="149">
        <f>IF((AND(FB6=0,FD6=0)),0,(FD6+FJ6)/(FB6+FD6+FJ6))</f>
        <v>9.084151055605115E-2</v>
      </c>
      <c r="FN6" s="149">
        <f>FJ6/$EZ$4</f>
        <v>8.9285714285714283E-4</v>
      </c>
      <c r="FO6" s="69">
        <f>(FR6/($EZ$4*FS6))</f>
        <v>0.72871093750000004</v>
      </c>
      <c r="FP6" s="6"/>
      <c r="FQ6" s="6">
        <f>SUM(FB6:FD6,FF6,FH6)</f>
        <v>672</v>
      </c>
      <c r="FR6" s="86">
        <v>78351</v>
      </c>
      <c r="FS6" s="20">
        <v>160</v>
      </c>
      <c r="FU6" s="16" t="s">
        <v>33</v>
      </c>
      <c r="FV6" s="17" t="s">
        <v>34</v>
      </c>
      <c r="FW6" s="8">
        <v>723.6</v>
      </c>
      <c r="FX6" s="8">
        <v>723.6</v>
      </c>
      <c r="FY6" s="8">
        <v>0</v>
      </c>
      <c r="FZ6" s="8">
        <v>20.399999999999999</v>
      </c>
      <c r="GA6" s="69">
        <f>(FZ6/$FV$4)</f>
        <v>2.7419354838709675E-2</v>
      </c>
      <c r="GB6" s="8">
        <v>0</v>
      </c>
      <c r="GC6" s="69">
        <f>(GB6/$FV$4)</f>
        <v>0</v>
      </c>
      <c r="GD6" s="6">
        <v>0</v>
      </c>
      <c r="GE6" s="69">
        <f>(GD6/$FV$4)</f>
        <v>0</v>
      </c>
      <c r="GF6" s="8">
        <v>6.5</v>
      </c>
      <c r="GG6" s="69">
        <f>(FW6/$X$4)</f>
        <v>0.97258064516129039</v>
      </c>
      <c r="GH6" s="69">
        <f>((FW6-GF6)/$FV$4)</f>
        <v>0.9638440860215054</v>
      </c>
      <c r="GI6" s="149">
        <f>IF((AND(FX6=0,FZ6=0)),0,(FZ6+GF6)/(FX6+FZ6+GF6))</f>
        <v>3.5842771485676217E-2</v>
      </c>
      <c r="GJ6" s="149">
        <f>GF6/$FV$4</f>
        <v>8.7365591397849454E-3</v>
      </c>
      <c r="GK6" s="69">
        <f>(GN6/($FV$4*GO6))</f>
        <v>0.81435651881720428</v>
      </c>
      <c r="GL6" s="69"/>
      <c r="GM6" s="6">
        <f>SUM(FX6:FZ6,GB6,GD6)</f>
        <v>744</v>
      </c>
      <c r="GN6" s="86">
        <v>96941</v>
      </c>
      <c r="GO6" s="20">
        <v>160</v>
      </c>
      <c r="GQ6" s="16" t="s">
        <v>33</v>
      </c>
      <c r="GR6" s="17" t="s">
        <v>34</v>
      </c>
      <c r="GS6" s="8">
        <v>710.9</v>
      </c>
      <c r="GT6" s="8">
        <v>710.9</v>
      </c>
      <c r="GU6" s="8">
        <v>0</v>
      </c>
      <c r="GV6" s="8">
        <v>9.1</v>
      </c>
      <c r="GW6" s="6">
        <f>(GV6/$GR$4)</f>
        <v>1.2638888888888889E-2</v>
      </c>
      <c r="GX6" s="8">
        <v>0</v>
      </c>
      <c r="GY6" s="6">
        <f>(GX6/$GR$4)</f>
        <v>0</v>
      </c>
      <c r="GZ6" s="6">
        <v>0</v>
      </c>
      <c r="HA6" s="6">
        <f>(GZ6/$GR$4)</f>
        <v>0</v>
      </c>
      <c r="HB6" s="8">
        <v>54</v>
      </c>
      <c r="HC6" s="69">
        <f>(GS6/$X$4)</f>
        <v>0.95551075268817198</v>
      </c>
      <c r="HD6" s="69">
        <f>((GS6-HB6)/$GR$4)</f>
        <v>0.91236111111111107</v>
      </c>
      <c r="HE6" s="149">
        <f>IF((AND(GT6=0,GV6=0)),0,(GV6+HB6)/(GT6+GV6+HB6))</f>
        <v>8.1524547803617578E-2</v>
      </c>
      <c r="HF6" s="149">
        <f>HB6/$GR$4</f>
        <v>7.4999999999999997E-2</v>
      </c>
      <c r="HG6" s="69">
        <f>(HJ6/($GR$4*HK6))</f>
        <v>0.82543402777777775</v>
      </c>
      <c r="HH6" s="15">
        <v>2</v>
      </c>
      <c r="HI6" s="6">
        <f>SUM(GT6:GV6,GX6,GZ6)</f>
        <v>720</v>
      </c>
      <c r="HJ6" s="86">
        <v>95090</v>
      </c>
      <c r="HK6" s="20">
        <v>160</v>
      </c>
      <c r="HM6" s="16" t="s">
        <v>33</v>
      </c>
      <c r="HN6" s="17" t="s">
        <v>34</v>
      </c>
      <c r="HO6" s="8">
        <v>624.4</v>
      </c>
      <c r="HP6" s="8">
        <v>624.4</v>
      </c>
      <c r="HQ6" s="107">
        <v>0</v>
      </c>
      <c r="HR6" s="8">
        <v>47.7</v>
      </c>
      <c r="HS6" s="6">
        <f>(HR6/$HN$4)</f>
        <v>6.4112903225806456E-2</v>
      </c>
      <c r="HT6" s="8">
        <v>0</v>
      </c>
      <c r="HU6" s="6">
        <f>(HT6/$HN$4)</f>
        <v>0</v>
      </c>
      <c r="HV6" s="108">
        <v>71.900000000000006</v>
      </c>
      <c r="HW6" s="6">
        <f>(HV6/$HN$4)</f>
        <v>9.6639784946236568E-2</v>
      </c>
      <c r="HX6" s="8">
        <v>0</v>
      </c>
      <c r="HY6" s="69">
        <f>(HO6/$HN$4)</f>
        <v>0.83924731182795698</v>
      </c>
      <c r="HZ6" s="69">
        <f>((HO6-HX6)/$HN$4)</f>
        <v>0.83924731182795698</v>
      </c>
      <c r="IA6" s="149">
        <f>IF((AND(HP6=0,HR6=0)),0,(HR6+HX6)/(HP6+HR6+HX6))</f>
        <v>7.0971581609879486E-2</v>
      </c>
      <c r="IB6" s="149">
        <f>HX6/$HN$4</f>
        <v>0</v>
      </c>
      <c r="IC6" s="69">
        <f>(IF6/($HN$4*IG6))</f>
        <v>0.71917842741935489</v>
      </c>
      <c r="ID6" s="15">
        <v>2</v>
      </c>
      <c r="IE6" s="6">
        <f>SUM(HP6:HR6,HT6,HV6)</f>
        <v>744</v>
      </c>
      <c r="IF6" s="86">
        <v>85611</v>
      </c>
      <c r="IG6" s="20">
        <v>160</v>
      </c>
      <c r="II6" s="16" t="s">
        <v>33</v>
      </c>
      <c r="IJ6" s="17" t="s">
        <v>34</v>
      </c>
      <c r="IK6" s="109">
        <v>701.4</v>
      </c>
      <c r="IL6" s="109">
        <v>701.4</v>
      </c>
      <c r="IM6" s="109">
        <v>0</v>
      </c>
      <c r="IN6" s="109">
        <v>2.4</v>
      </c>
      <c r="IO6" s="69">
        <f>(IN6/$IJ$4)</f>
        <v>3.3333333333333331E-3</v>
      </c>
      <c r="IP6" s="109">
        <v>0</v>
      </c>
      <c r="IQ6" s="69">
        <f>(IP6/$IJ$4)</f>
        <v>0</v>
      </c>
      <c r="IR6" s="109">
        <v>16.2</v>
      </c>
      <c r="IS6" s="69">
        <f>(IR6/$IJ$4)</f>
        <v>2.2499999999999999E-2</v>
      </c>
      <c r="IT6" s="109">
        <v>0</v>
      </c>
      <c r="IU6" s="69">
        <f>(IK6/$IJ$4)</f>
        <v>0.97416666666666663</v>
      </c>
      <c r="IV6" s="69">
        <f>((IK6-IT6)/$IJ$4)</f>
        <v>0.97416666666666663</v>
      </c>
      <c r="IW6" s="149">
        <f>IF((AND(IL6=0,IN6=0)),0,(IN6+IT6)/(IL6+IN6+IT6))</f>
        <v>3.4100596760443308E-3</v>
      </c>
      <c r="IX6" s="149">
        <f>IT6/$IJ$4</f>
        <v>0</v>
      </c>
      <c r="IY6" s="69">
        <f>(JB6/($IJ$4*JC6))</f>
        <v>0.81701388888888893</v>
      </c>
      <c r="IZ6" s="15">
        <v>1</v>
      </c>
      <c r="JA6" s="15">
        <f>SUM(IL6:IN6,IP6,IR6)</f>
        <v>720</v>
      </c>
      <c r="JB6" s="110">
        <v>94120</v>
      </c>
      <c r="JC6" s="20">
        <v>160</v>
      </c>
    </row>
    <row r="7" spans="1:263" ht="15" x14ac:dyDescent="0.25">
      <c r="A7" s="16" t="s">
        <v>35</v>
      </c>
      <c r="B7" s="17" t="s">
        <v>36</v>
      </c>
      <c r="C7" s="6">
        <v>0</v>
      </c>
      <c r="D7" s="6">
        <v>0</v>
      </c>
      <c r="E7" s="6">
        <v>0</v>
      </c>
      <c r="F7" s="8">
        <v>744</v>
      </c>
      <c r="G7" s="6">
        <f t="shared" si="0"/>
        <v>1</v>
      </c>
      <c r="H7" s="8">
        <v>0</v>
      </c>
      <c r="I7" s="6">
        <f t="shared" si="1"/>
        <v>0</v>
      </c>
      <c r="J7" s="15">
        <v>0</v>
      </c>
      <c r="K7" s="6">
        <f t="shared" si="2"/>
        <v>0</v>
      </c>
      <c r="L7" s="8">
        <v>0</v>
      </c>
      <c r="M7" s="69">
        <f t="shared" ref="M7:M11" si="4">(C7/$B$4)</f>
        <v>0</v>
      </c>
      <c r="N7" s="69">
        <f t="shared" ref="N7:N11" si="5">((C7-L7)/$B$4)</f>
        <v>0</v>
      </c>
      <c r="O7" s="149">
        <f t="shared" ref="O7:O11" si="6">IF((AND(D7=0,F7=0)),0,(F7+L7)/(D7+F7+L7))</f>
        <v>1</v>
      </c>
      <c r="P7" s="149">
        <f t="shared" si="3"/>
        <v>0</v>
      </c>
      <c r="Q7" s="69">
        <f t="shared" ref="Q7:Q11" si="7">(T7/($B$4*U7))</f>
        <v>0</v>
      </c>
      <c r="R7" s="15">
        <v>0</v>
      </c>
      <c r="S7" s="6">
        <f t="shared" ref="S7:S11" si="8">SUM(D7:F7,H7,J7)</f>
        <v>744</v>
      </c>
      <c r="T7" s="8">
        <v>0</v>
      </c>
      <c r="U7" s="20">
        <v>60</v>
      </c>
      <c r="W7" s="16" t="s">
        <v>35</v>
      </c>
      <c r="X7" s="17" t="s">
        <v>36</v>
      </c>
      <c r="Y7" s="6">
        <f t="shared" ref="Y7:Y11" si="9">$X$4-AB7-AD7-AF7</f>
        <v>0</v>
      </c>
      <c r="Z7" s="8">
        <v>0</v>
      </c>
      <c r="AA7" s="8">
        <v>0</v>
      </c>
      <c r="AB7" s="8">
        <v>744</v>
      </c>
      <c r="AC7" s="6">
        <f t="shared" ref="AC7:AC11" si="10">(AB7/$X$4)</f>
        <v>1</v>
      </c>
      <c r="AD7" s="8">
        <v>0</v>
      </c>
      <c r="AE7" s="6">
        <f t="shared" ref="AE7:AE11" si="11">(AD7/$X$4)</f>
        <v>0</v>
      </c>
      <c r="AF7" s="6">
        <v>0</v>
      </c>
      <c r="AG7" s="6">
        <f t="shared" ref="AG7:AG11" si="12">(AF7/$X$4)</f>
        <v>0</v>
      </c>
      <c r="AH7" s="8">
        <v>0</v>
      </c>
      <c r="AI7" s="69">
        <f t="shared" ref="AI7:AI11" si="13">(Y7/$X$4)</f>
        <v>0</v>
      </c>
      <c r="AJ7" s="69">
        <f t="shared" ref="AJ7:AJ11" si="14">((Y7-AH7)/$X$4)</f>
        <v>0</v>
      </c>
      <c r="AK7" s="149">
        <f t="shared" ref="AK7:AK11" si="15">IF((AND(Z7=0,AB7=0)),0,(AB7+AH7)/(Z7+AB7+AH7))</f>
        <v>1</v>
      </c>
      <c r="AL7" s="149">
        <f t="shared" ref="AL7:AL11" si="16">AH7/$X$4</f>
        <v>0</v>
      </c>
      <c r="AM7" s="69">
        <f t="shared" ref="AM7:AM11" si="17">(AP7/($X$4*AQ7))</f>
        <v>0</v>
      </c>
      <c r="AN7" s="15">
        <v>0</v>
      </c>
      <c r="AO7" s="6">
        <f t="shared" ref="AO7:AO11" si="18">SUM(Z7:AB7,AD7,AF7)</f>
        <v>744</v>
      </c>
      <c r="AP7" s="8">
        <v>0</v>
      </c>
      <c r="AQ7" s="20">
        <v>60</v>
      </c>
      <c r="AS7" s="16" t="s">
        <v>35</v>
      </c>
      <c r="AT7" s="17" t="s">
        <v>36</v>
      </c>
      <c r="AU7" s="8">
        <v>655.1</v>
      </c>
      <c r="AV7" s="8">
        <v>655.1</v>
      </c>
      <c r="AW7" s="8">
        <v>0</v>
      </c>
      <c r="AX7" s="8">
        <v>64.900000000000006</v>
      </c>
      <c r="AY7" s="6">
        <f t="shared" ref="AY7:AY11" si="19">(AX7/$AT$4)</f>
        <v>9.0138888888888893E-2</v>
      </c>
      <c r="AZ7" s="8">
        <v>0</v>
      </c>
      <c r="BA7" s="6">
        <f t="shared" ref="BA7:BA11" si="20">(AZ7/$AT$4)</f>
        <v>0</v>
      </c>
      <c r="BB7" s="6">
        <v>0</v>
      </c>
      <c r="BC7" s="6">
        <f t="shared" ref="BC7:BC11" si="21">(BB7/$AT$4)</f>
        <v>0</v>
      </c>
      <c r="BD7" s="8">
        <v>0</v>
      </c>
      <c r="BE7" s="69">
        <f t="shared" ref="BE7:BE11" si="22">(AU7/$AT$4)</f>
        <v>0.90986111111111112</v>
      </c>
      <c r="BF7" s="69">
        <f t="shared" ref="BF7:BF11" si="23">((AU7-BD7)/$AT$4)</f>
        <v>0.90986111111111112</v>
      </c>
      <c r="BG7" s="149">
        <f t="shared" ref="BG7:BG11" si="24">IF((AND(AV7=0,AX7=0)),0,(AX7+BD7)/(AV7+AX7+BD7))</f>
        <v>9.0138888888888893E-2</v>
      </c>
      <c r="BH7" s="149">
        <f t="shared" ref="BH7:BH11" si="25">BD7/$AT$4</f>
        <v>0</v>
      </c>
      <c r="BI7" s="69">
        <f t="shared" ref="BI7:BI11" si="26">(BL7/($AT$4*BM7))</f>
        <v>0.73884259259259255</v>
      </c>
      <c r="BJ7" s="6"/>
      <c r="BK7" s="6">
        <f t="shared" ref="BK7:BK11" si="27">SUM(AV7:AX7,AZ7,BB7)</f>
        <v>720</v>
      </c>
      <c r="BL7" s="86">
        <v>31918</v>
      </c>
      <c r="BM7" s="20">
        <v>60</v>
      </c>
      <c r="BO7" s="16" t="s">
        <v>35</v>
      </c>
      <c r="BP7" s="17" t="s">
        <v>36</v>
      </c>
      <c r="BQ7" s="8">
        <v>574.20000000000005</v>
      </c>
      <c r="BR7" s="8">
        <v>574.20000000000005</v>
      </c>
      <c r="BS7" s="8">
        <v>0</v>
      </c>
      <c r="BT7" s="8">
        <v>23.6</v>
      </c>
      <c r="BU7" s="69">
        <f t="shared" ref="BU7:BU11" si="28">(BT7/$BP$4)</f>
        <v>3.1720430107526884E-2</v>
      </c>
      <c r="BV7" s="8">
        <v>146.19999999999999</v>
      </c>
      <c r="BW7" s="69">
        <f t="shared" ref="BW7:BW11" si="29">(BV7/$BP$4)</f>
        <v>0.19650537634408602</v>
      </c>
      <c r="BX7" s="6">
        <v>0</v>
      </c>
      <c r="BY7" s="69">
        <f t="shared" ref="BY7:BY11" si="30">(BX7/$BP$4)</f>
        <v>0</v>
      </c>
      <c r="BZ7" s="8">
        <v>64</v>
      </c>
      <c r="CA7" s="69">
        <f t="shared" ref="CA7:CA11" si="31">(BQ7/$BP$4)</f>
        <v>0.77177419354838717</v>
      </c>
      <c r="CB7" s="69">
        <f t="shared" ref="CB7:CB11" si="32">((BQ7-BZ7)/$BP$4)</f>
        <v>0.68575268817204305</v>
      </c>
      <c r="CC7" s="149">
        <f t="shared" ref="CC7:CC11" si="33">IF((AND(BR7=0,BT7=0)),0,(BT7+BZ7)/(BR7+BT7+BZ7))</f>
        <v>0.1323662737987307</v>
      </c>
      <c r="CD7" s="149">
        <f t="shared" ref="CD7:CD11" si="34">BZ7/$BP$4</f>
        <v>8.6021505376344093E-2</v>
      </c>
      <c r="CE7" s="69">
        <f t="shared" ref="CE7:CE11" si="35">(CH7/($BP$4*CI7))</f>
        <v>0.58476702508960576</v>
      </c>
      <c r="CF7" s="69"/>
      <c r="CG7" s="42">
        <f t="shared" ref="CG7:CG11" si="36">SUM(BR7:BT7,BV7,BX7)</f>
        <v>744</v>
      </c>
      <c r="CH7" s="86">
        <v>26104</v>
      </c>
      <c r="CI7" s="20">
        <v>60</v>
      </c>
      <c r="CK7" s="16" t="s">
        <v>35</v>
      </c>
      <c r="CL7" s="17" t="s">
        <v>36</v>
      </c>
      <c r="CM7" s="8">
        <v>430.2</v>
      </c>
      <c r="CN7" s="8">
        <v>430.2</v>
      </c>
      <c r="CO7" s="8">
        <v>0</v>
      </c>
      <c r="CP7" s="8">
        <v>39.5</v>
      </c>
      <c r="CQ7" s="6">
        <f t="shared" ref="CQ7:CQ11" si="37">(CP7/$CL$4)</f>
        <v>5.486111111111111E-2</v>
      </c>
      <c r="CR7" s="8">
        <v>182</v>
      </c>
      <c r="CS7" s="6">
        <f t="shared" ref="CS7:CS11" si="38">(CR7/$CL$4)</f>
        <v>0.25277777777777777</v>
      </c>
      <c r="CT7" s="6">
        <v>68.3</v>
      </c>
      <c r="CU7" s="6">
        <f t="shared" ref="CU7:CU11" si="39">(CT7/$CL$4)</f>
        <v>9.4861111111111104E-2</v>
      </c>
      <c r="CV7" s="8">
        <v>0</v>
      </c>
      <c r="CW7" s="69">
        <f t="shared" ref="CW7:CW11" si="40">(CM7/$CL$4)</f>
        <v>0.59750000000000003</v>
      </c>
      <c r="CX7" s="69">
        <f t="shared" ref="CX7:CX11" si="41">((CM7-CV7)/$CL$4)</f>
        <v>0.59750000000000003</v>
      </c>
      <c r="CY7" s="149">
        <f t="shared" ref="CY7:CY11" si="42">IF((AND(CN7=0,CP7=0)),0,(CP7+CV7)/(CN7+CP7+CV7))</f>
        <v>8.4096231637215246E-2</v>
      </c>
      <c r="CZ7" s="149">
        <f t="shared" ref="CZ7:CZ11" si="43">CV7/$CL$4</f>
        <v>0</v>
      </c>
      <c r="DA7" s="69">
        <f t="shared" ref="DA7:DA11" si="44">(DD7/($CL$4*DE7))</f>
        <v>0.46347222222222223</v>
      </c>
      <c r="DB7" s="6"/>
      <c r="DC7" s="6">
        <f t="shared" ref="DC7:DC11" si="45">SUM(CN7:CP7,CR7,CT7)</f>
        <v>720</v>
      </c>
      <c r="DD7" s="86">
        <v>20022</v>
      </c>
      <c r="DE7" s="20">
        <v>60</v>
      </c>
      <c r="DG7" s="16" t="s">
        <v>35</v>
      </c>
      <c r="DH7" s="17" t="s">
        <v>36</v>
      </c>
      <c r="DI7" s="8">
        <v>705</v>
      </c>
      <c r="DJ7" s="8">
        <v>705</v>
      </c>
      <c r="DK7" s="8">
        <v>0</v>
      </c>
      <c r="DL7" s="8">
        <v>39</v>
      </c>
      <c r="DM7" s="69">
        <f t="shared" ref="DM7:DM11" si="46">(DL7/$DH$4)</f>
        <v>5.2419354838709679E-2</v>
      </c>
      <c r="DN7" s="8">
        <v>0</v>
      </c>
      <c r="DO7" s="69">
        <f t="shared" ref="DO7:DO11" si="47">(DN7/$DH$4)</f>
        <v>0</v>
      </c>
      <c r="DP7" s="6">
        <v>0</v>
      </c>
      <c r="DQ7" s="69">
        <f t="shared" ref="DQ7:DQ11" si="48">(DP7/$DH$4)</f>
        <v>0</v>
      </c>
      <c r="DR7" s="8">
        <v>0</v>
      </c>
      <c r="DS7" s="69">
        <f t="shared" ref="DS7:DS11" si="49">(DI7/$X$4)</f>
        <v>0.94758064516129037</v>
      </c>
      <c r="DT7" s="69">
        <f t="shared" ref="DT7:DT11" si="50">((DI7-DR7)/$DH$4)</f>
        <v>0.94758064516129037</v>
      </c>
      <c r="DU7" s="149">
        <f t="shared" ref="DU7:DU11" si="51">IF((AND(DJ7=0,DL7=0)),0,(DL7+DR7)/(DJ7+DL7+DR7))</f>
        <v>5.2419354838709679E-2</v>
      </c>
      <c r="DV7" s="149">
        <f t="shared" ref="DV7:DV11" si="52">DR7/$DH$4</f>
        <v>0</v>
      </c>
      <c r="DW7" s="69">
        <f t="shared" ref="DW7:DW11" si="53">(DZ7/($DH$4*EA7))</f>
        <v>0.73223566308243726</v>
      </c>
      <c r="DX7" s="69"/>
      <c r="DY7" s="6">
        <f t="shared" ref="DY7:DY11" si="54">SUM(DJ7:DL7,DN7,DP7)</f>
        <v>744</v>
      </c>
      <c r="DZ7" s="86">
        <v>32687</v>
      </c>
      <c r="EA7" s="20">
        <v>60</v>
      </c>
      <c r="EC7" s="16" t="s">
        <v>35</v>
      </c>
      <c r="ED7" s="17" t="s">
        <v>36</v>
      </c>
      <c r="EE7" s="8">
        <v>553</v>
      </c>
      <c r="EF7" s="8">
        <v>544.6</v>
      </c>
      <c r="EG7" s="8">
        <v>8.4</v>
      </c>
      <c r="EH7" s="8">
        <v>170.8</v>
      </c>
      <c r="EI7" s="6">
        <f t="shared" ref="EI7:EI11" si="55">(EH7/$ED$4)</f>
        <v>0.22956989247311829</v>
      </c>
      <c r="EJ7" s="8">
        <v>0</v>
      </c>
      <c r="EK7" s="6">
        <f t="shared" ref="EK7:EK11" si="56">(EJ7/$ED$4)</f>
        <v>0</v>
      </c>
      <c r="EL7" s="6">
        <v>20.2</v>
      </c>
      <c r="EM7" s="6">
        <f t="shared" ref="EM7:EM11" si="57">(EL7/$ED$4)</f>
        <v>2.7150537634408601E-2</v>
      </c>
      <c r="EN7" s="8">
        <v>98.65</v>
      </c>
      <c r="EO7" s="69">
        <f t="shared" ref="EO7:EO11" si="58">(EE7/$X$4)</f>
        <v>0.74327956989247312</v>
      </c>
      <c r="EP7" s="69">
        <f t="shared" ref="EP7:EP11" si="59">((EE7-EN7)/$ED$4)</f>
        <v>0.61068548387096777</v>
      </c>
      <c r="EQ7" s="149">
        <f t="shared" ref="EQ7:EQ11" si="60">IF((AND(EF7=0,EH7=0)),0,(EH7+EN7)/(EF7+EH7+EN7))</f>
        <v>0.33099932436582524</v>
      </c>
      <c r="ER7" s="149">
        <f t="shared" ref="ER7:ER11" si="61">EN7/$ED$4</f>
        <v>0.13259408602150538</v>
      </c>
      <c r="ES7" s="69">
        <f t="shared" ref="ES7:ES11" si="62">(EV7/($ED$4*EW7))</f>
        <v>0.5390681003584229</v>
      </c>
      <c r="ET7" s="6"/>
      <c r="EU7" s="6">
        <f t="shared" ref="EU7:EU11" si="63">SUM(EF7:EH7,EJ7,EL7)</f>
        <v>744</v>
      </c>
      <c r="EV7" s="86">
        <v>24064</v>
      </c>
      <c r="EW7" s="20">
        <v>60</v>
      </c>
      <c r="EY7" s="16" t="s">
        <v>35</v>
      </c>
      <c r="EZ7" s="17" t="s">
        <v>36</v>
      </c>
      <c r="FA7" s="8">
        <v>540.9</v>
      </c>
      <c r="FB7" s="8">
        <v>540.9</v>
      </c>
      <c r="FC7" s="8">
        <v>0</v>
      </c>
      <c r="FD7" s="8">
        <v>131.1</v>
      </c>
      <c r="FE7" s="6">
        <f t="shared" ref="FE7:FE11" si="64">(FD7/$EZ$4)</f>
        <v>0.19508928571428572</v>
      </c>
      <c r="FF7" s="8">
        <v>0</v>
      </c>
      <c r="FG7" s="6">
        <f t="shared" ref="FG7:FG11" si="65">(FF7/$EZ$4)</f>
        <v>0</v>
      </c>
      <c r="FH7" s="6">
        <v>0</v>
      </c>
      <c r="FI7" s="6">
        <f t="shared" ref="FI7:FI11" si="66">(FH7/$EZ$4)</f>
        <v>0</v>
      </c>
      <c r="FJ7" s="8">
        <v>0.6</v>
      </c>
      <c r="FK7" s="69">
        <f t="shared" ref="FK7:FK11" si="67">(FA7/$X$4)</f>
        <v>0.72701612903225799</v>
      </c>
      <c r="FL7" s="69">
        <f t="shared" ref="FL7:FL11" si="68">((FA7-FJ7)/$EZ$4)</f>
        <v>0.80401785714285712</v>
      </c>
      <c r="FM7" s="149">
        <f t="shared" ref="FM7:FM11" si="69">IF((AND(FB7=0,FD7=0)),0,(FD7+FJ7)/(FB7+FD7+FJ7))</f>
        <v>0.19580731489741299</v>
      </c>
      <c r="FN7" s="149">
        <f t="shared" ref="FN7:FN11" si="70">FJ7/$EZ$4</f>
        <v>8.9285714285714283E-4</v>
      </c>
      <c r="FO7" s="69">
        <f t="shared" ref="FO7:FO11" si="71">(FR7/($EZ$4*FS7))</f>
        <v>0.58288690476190474</v>
      </c>
      <c r="FP7" s="6"/>
      <c r="FQ7" s="6">
        <f t="shared" ref="FQ7:FQ11" si="72">SUM(FB7:FD7,FF7,FH7)</f>
        <v>672</v>
      </c>
      <c r="FR7" s="86">
        <v>23502</v>
      </c>
      <c r="FS7" s="20">
        <v>60</v>
      </c>
      <c r="FU7" s="16" t="s">
        <v>35</v>
      </c>
      <c r="FV7" s="17" t="s">
        <v>36</v>
      </c>
      <c r="FW7" s="8">
        <v>700.7</v>
      </c>
      <c r="FX7" s="8">
        <v>700.7</v>
      </c>
      <c r="FY7" s="8">
        <v>0</v>
      </c>
      <c r="FZ7" s="8">
        <v>43.3</v>
      </c>
      <c r="GA7" s="69">
        <f t="shared" ref="GA7:GA11" si="73">(FZ7/$FV$4)</f>
        <v>5.8198924731182794E-2</v>
      </c>
      <c r="GB7" s="8">
        <v>0</v>
      </c>
      <c r="GC7" s="69">
        <f t="shared" ref="GC7:GC11" si="74">(GB7/$FV$4)</f>
        <v>0</v>
      </c>
      <c r="GD7" s="6">
        <v>0</v>
      </c>
      <c r="GE7" s="69">
        <f t="shared" ref="GE7:GE11" si="75">(GD7/$FV$4)</f>
        <v>0</v>
      </c>
      <c r="GF7" s="8">
        <v>6.5</v>
      </c>
      <c r="GG7" s="69">
        <f t="shared" ref="GG7:GG11" si="76">(FW7/$X$4)</f>
        <v>0.94180107526881729</v>
      </c>
      <c r="GH7" s="69">
        <f t="shared" ref="GH7:GH11" si="77">((FW7-GF7)/$FV$4)</f>
        <v>0.9330645161290323</v>
      </c>
      <c r="GI7" s="149">
        <f t="shared" ref="GI7:GI11" si="78">IF((AND(FX7=0,FZ7=0)),0,(FZ7+GF7)/(FX7+FZ7+GF7))</f>
        <v>6.6355762824783476E-2</v>
      </c>
      <c r="GJ7" s="149">
        <f t="shared" ref="GJ7:GJ11" si="79">GF7/$FV$4</f>
        <v>8.7365591397849454E-3</v>
      </c>
      <c r="GK7" s="69">
        <f t="shared" ref="GK7:GK11" si="80">(GN7/($FV$4*GO7))</f>
        <v>0.68810483870967742</v>
      </c>
      <c r="GL7" s="69"/>
      <c r="GM7" s="6">
        <f t="shared" ref="GM7:GM11" si="81">SUM(FX7:FZ7,GB7,GD7)</f>
        <v>744</v>
      </c>
      <c r="GN7" s="86">
        <v>30717</v>
      </c>
      <c r="GO7" s="20">
        <v>60</v>
      </c>
      <c r="GQ7" s="16" t="s">
        <v>35</v>
      </c>
      <c r="GR7" s="17" t="s">
        <v>36</v>
      </c>
      <c r="GS7" s="8">
        <v>701.5</v>
      </c>
      <c r="GT7" s="8">
        <v>701.5</v>
      </c>
      <c r="GU7" s="8">
        <v>0</v>
      </c>
      <c r="GV7" s="8">
        <v>18.5</v>
      </c>
      <c r="GW7" s="6">
        <f t="shared" ref="GW7:GW11" si="82">(GV7/$GR$4)</f>
        <v>2.5694444444444443E-2</v>
      </c>
      <c r="GX7" s="8">
        <v>0</v>
      </c>
      <c r="GY7" s="6">
        <f t="shared" ref="GY7:GY11" si="83">(GX7/$GR$4)</f>
        <v>0</v>
      </c>
      <c r="GZ7" s="6">
        <v>0</v>
      </c>
      <c r="HA7" s="6">
        <f t="shared" ref="HA7:HA11" si="84">(GZ7/$GR$4)</f>
        <v>0</v>
      </c>
      <c r="HB7" s="8">
        <v>56.5</v>
      </c>
      <c r="HC7" s="69">
        <f t="shared" ref="HC7:HC11" si="85">(GS7/$X$4)</f>
        <v>0.9428763440860215</v>
      </c>
      <c r="HD7" s="69">
        <f t="shared" ref="HD7:HD11" si="86">((GS7-HB7)/$GR$4)</f>
        <v>0.89583333333333337</v>
      </c>
      <c r="HE7" s="149">
        <f t="shared" ref="HE7:HE10" si="87">IF((AND(GT7=0,GV7=0)),0,(GV7+HB7)/(GT7+GV7+HB7))</f>
        <v>9.6587250482936246E-2</v>
      </c>
      <c r="HF7" s="149">
        <f t="shared" ref="HF7:HF11" si="88">HB7/$GR$4</f>
        <v>7.8472222222222221E-2</v>
      </c>
      <c r="HG7" s="69">
        <f t="shared" ref="HG7:HG11" si="89">(HJ7/($GR$4*HK7))</f>
        <v>0.72495370370370371</v>
      </c>
      <c r="HH7" s="15">
        <v>3</v>
      </c>
      <c r="HI7" s="6">
        <f t="shared" ref="HI7:HI11" si="90">SUM(GT7:GV7,GX7,GZ7)</f>
        <v>720</v>
      </c>
      <c r="HJ7" s="86">
        <v>31318</v>
      </c>
      <c r="HK7" s="20">
        <v>60</v>
      </c>
      <c r="HM7" s="16" t="s">
        <v>35</v>
      </c>
      <c r="HN7" s="17" t="s">
        <v>36</v>
      </c>
      <c r="HO7" s="8">
        <v>616.9</v>
      </c>
      <c r="HP7" s="8">
        <v>616.9</v>
      </c>
      <c r="HQ7" s="107">
        <v>0</v>
      </c>
      <c r="HR7" s="8">
        <v>49</v>
      </c>
      <c r="HS7" s="6">
        <f t="shared" ref="HS7:HS11" si="91">(HR7/$HN$4)</f>
        <v>6.5860215053763438E-2</v>
      </c>
      <c r="HT7" s="8">
        <v>0</v>
      </c>
      <c r="HU7" s="6">
        <f t="shared" ref="HU7:HU11" si="92">(HT7/$HN$4)</f>
        <v>0</v>
      </c>
      <c r="HV7" s="108">
        <v>78.099999999999994</v>
      </c>
      <c r="HW7" s="6">
        <f t="shared" ref="HW7:HW11" si="93">(HV7/$HN$4)</f>
        <v>0.10497311827956989</v>
      </c>
      <c r="HX7" s="8">
        <v>0</v>
      </c>
      <c r="HY7" s="69">
        <f t="shared" ref="HY7:HY11" si="94">(HO7/$HN$4)</f>
        <v>0.82916666666666661</v>
      </c>
      <c r="HZ7" s="69">
        <f t="shared" ref="HZ7:HZ11" si="95">((HO7-HX7)/$HN$4)</f>
        <v>0.82916666666666661</v>
      </c>
      <c r="IA7" s="149">
        <f t="shared" ref="IA7:IA11" si="96">IF((AND(HP7=0,HR7=0)),0,(HR7+HX7)/(HP7+HR7+HX7))</f>
        <v>7.3584622315663012E-2</v>
      </c>
      <c r="IB7" s="149">
        <f t="shared" ref="IB7:IB11" si="97">HX7/$HN$4</f>
        <v>0</v>
      </c>
      <c r="IC7" s="69">
        <f t="shared" ref="IC7:IC11" si="98">(IF7/($HN$4*IG7))</f>
        <v>0.65105286738351253</v>
      </c>
      <c r="ID7" s="15">
        <v>3</v>
      </c>
      <c r="IE7" s="6">
        <f t="shared" ref="IE7:IE11" si="99">SUM(HP7:HR7,HT7,HV7)</f>
        <v>744</v>
      </c>
      <c r="IF7" s="86">
        <v>29063</v>
      </c>
      <c r="IG7" s="20">
        <v>60</v>
      </c>
      <c r="II7" s="16" t="s">
        <v>35</v>
      </c>
      <c r="IJ7" s="17" t="s">
        <v>36</v>
      </c>
      <c r="IK7" s="109">
        <v>688.8</v>
      </c>
      <c r="IL7" s="109">
        <v>688.8</v>
      </c>
      <c r="IM7" s="109">
        <v>0</v>
      </c>
      <c r="IN7" s="109">
        <v>10.199999999999999</v>
      </c>
      <c r="IO7" s="69">
        <f t="shared" ref="IO7:IO11" si="100">(IN7/$IJ$4)</f>
        <v>1.4166666666666666E-2</v>
      </c>
      <c r="IP7" s="109">
        <v>0</v>
      </c>
      <c r="IQ7" s="69">
        <f t="shared" ref="IQ7:IQ11" si="101">(IP7/$IJ$4)</f>
        <v>0</v>
      </c>
      <c r="IR7" s="109">
        <v>21</v>
      </c>
      <c r="IS7" s="69">
        <f t="shared" ref="IS7:IS11" si="102">(IR7/$IJ$4)</f>
        <v>2.9166666666666667E-2</v>
      </c>
      <c r="IT7" s="109">
        <v>0</v>
      </c>
      <c r="IU7" s="69">
        <f t="shared" ref="IU7:IU11" si="103">(IK7/$IJ$4)</f>
        <v>0.95666666666666655</v>
      </c>
      <c r="IV7" s="69">
        <f t="shared" ref="IV7:IV11" si="104">((IK7-IT7)/$IJ$4)</f>
        <v>0.95666666666666655</v>
      </c>
      <c r="IW7" s="149">
        <f t="shared" ref="IW7:IW11" si="105">IF((AND(IL7=0,IN7=0)),0,(IN7+IT7)/(IL7+IN7+IT7))</f>
        <v>1.4592274678111587E-2</v>
      </c>
      <c r="IX7" s="149">
        <f t="shared" ref="IX7:IX11" si="106">IT7/$IJ$4</f>
        <v>0</v>
      </c>
      <c r="IY7" s="69">
        <f t="shared" ref="IY7:IY11" si="107">(JB7/($IJ$4*JC7))</f>
        <v>0.73324074074074075</v>
      </c>
      <c r="IZ7" s="15">
        <v>1</v>
      </c>
      <c r="JA7" s="15">
        <f t="shared" ref="JA7:JA11" si="108">SUM(IL7:IN7,IP7,IR7)</f>
        <v>720</v>
      </c>
      <c r="JB7" s="110">
        <v>31676</v>
      </c>
      <c r="JC7" s="20">
        <v>60</v>
      </c>
    </row>
    <row r="8" spans="1:263" ht="15" x14ac:dyDescent="0.25">
      <c r="A8" s="17"/>
      <c r="B8" s="17" t="s">
        <v>37</v>
      </c>
      <c r="C8" s="6">
        <v>744</v>
      </c>
      <c r="D8" s="6">
        <v>695.5</v>
      </c>
      <c r="E8" s="6">
        <v>48.5</v>
      </c>
      <c r="F8" s="8">
        <v>0</v>
      </c>
      <c r="G8" s="6">
        <f t="shared" si="0"/>
        <v>0</v>
      </c>
      <c r="H8" s="8">
        <v>0</v>
      </c>
      <c r="I8" s="6">
        <f t="shared" si="1"/>
        <v>0</v>
      </c>
      <c r="J8" s="15">
        <v>0</v>
      </c>
      <c r="K8" s="6">
        <f t="shared" si="2"/>
        <v>0</v>
      </c>
      <c r="L8" s="8">
        <v>0</v>
      </c>
      <c r="M8" s="69">
        <f t="shared" si="4"/>
        <v>1</v>
      </c>
      <c r="N8" s="69">
        <f t="shared" si="5"/>
        <v>1</v>
      </c>
      <c r="O8" s="149">
        <f t="shared" si="6"/>
        <v>0</v>
      </c>
      <c r="P8" s="149">
        <f t="shared" si="3"/>
        <v>0</v>
      </c>
      <c r="Q8" s="69">
        <f t="shared" si="7"/>
        <v>0.81809475806451615</v>
      </c>
      <c r="R8" s="15">
        <v>0</v>
      </c>
      <c r="S8" s="6">
        <f t="shared" si="8"/>
        <v>744</v>
      </c>
      <c r="T8" s="86">
        <v>97386</v>
      </c>
      <c r="U8" s="20">
        <v>160</v>
      </c>
      <c r="W8" s="17"/>
      <c r="X8" s="17" t="s">
        <v>37</v>
      </c>
      <c r="Y8" s="6">
        <f t="shared" si="9"/>
        <v>305.2</v>
      </c>
      <c r="Z8" s="8">
        <v>167.2</v>
      </c>
      <c r="AA8" s="8">
        <v>138</v>
      </c>
      <c r="AB8" s="8">
        <v>438.8</v>
      </c>
      <c r="AC8" s="6">
        <f t="shared" si="10"/>
        <v>0.58978494623655919</v>
      </c>
      <c r="AD8" s="8">
        <v>0</v>
      </c>
      <c r="AE8" s="6">
        <f t="shared" si="11"/>
        <v>0</v>
      </c>
      <c r="AF8" s="6">
        <v>0</v>
      </c>
      <c r="AG8" s="6">
        <f t="shared" si="12"/>
        <v>0</v>
      </c>
      <c r="AH8" s="8">
        <v>0</v>
      </c>
      <c r="AI8" s="69">
        <f t="shared" si="13"/>
        <v>0.41021505376344086</v>
      </c>
      <c r="AJ8" s="69">
        <f t="shared" si="14"/>
        <v>0.41021505376344086</v>
      </c>
      <c r="AK8" s="149">
        <f t="shared" si="15"/>
        <v>0.72409240924092411</v>
      </c>
      <c r="AL8" s="149">
        <f t="shared" si="16"/>
        <v>0</v>
      </c>
      <c r="AM8" s="69">
        <f t="shared" si="17"/>
        <v>0.17429435483870967</v>
      </c>
      <c r="AN8" s="15">
        <v>9</v>
      </c>
      <c r="AO8" s="6">
        <f t="shared" si="18"/>
        <v>744</v>
      </c>
      <c r="AP8" s="86">
        <v>20748</v>
      </c>
      <c r="AQ8" s="20">
        <v>160</v>
      </c>
      <c r="AS8" s="17"/>
      <c r="AT8" s="17" t="s">
        <v>37</v>
      </c>
      <c r="AU8" s="8">
        <v>0</v>
      </c>
      <c r="AV8" s="8">
        <v>0</v>
      </c>
      <c r="AW8" s="8">
        <v>0</v>
      </c>
      <c r="AX8" s="8">
        <v>720</v>
      </c>
      <c r="AY8" s="6">
        <f t="shared" si="19"/>
        <v>1</v>
      </c>
      <c r="AZ8" s="8">
        <v>0</v>
      </c>
      <c r="BA8" s="6">
        <f t="shared" si="20"/>
        <v>0</v>
      </c>
      <c r="BB8" s="6">
        <v>0</v>
      </c>
      <c r="BC8" s="6">
        <f t="shared" si="21"/>
        <v>0</v>
      </c>
      <c r="BD8" s="8">
        <v>0</v>
      </c>
      <c r="BE8" s="69">
        <f t="shared" si="22"/>
        <v>0</v>
      </c>
      <c r="BF8" s="69">
        <f t="shared" si="23"/>
        <v>0</v>
      </c>
      <c r="BG8" s="149">
        <f t="shared" si="24"/>
        <v>1</v>
      </c>
      <c r="BH8" s="149">
        <f t="shared" si="25"/>
        <v>0</v>
      </c>
      <c r="BI8" s="69">
        <f t="shared" si="26"/>
        <v>0</v>
      </c>
      <c r="BJ8" s="6"/>
      <c r="BK8" s="6">
        <f t="shared" si="27"/>
        <v>720</v>
      </c>
      <c r="BL8" s="8">
        <v>0</v>
      </c>
      <c r="BM8" s="20">
        <v>160</v>
      </c>
      <c r="BO8" s="17"/>
      <c r="BP8" s="17" t="s">
        <v>37</v>
      </c>
      <c r="BQ8" s="8">
        <v>0</v>
      </c>
      <c r="BR8" s="8">
        <v>0</v>
      </c>
      <c r="BS8" s="8">
        <v>0</v>
      </c>
      <c r="BT8" s="8">
        <v>744</v>
      </c>
      <c r="BU8" s="69">
        <f t="shared" si="28"/>
        <v>1</v>
      </c>
      <c r="BV8" s="8">
        <v>0</v>
      </c>
      <c r="BW8" s="69">
        <f t="shared" si="29"/>
        <v>0</v>
      </c>
      <c r="BX8" s="6">
        <v>0</v>
      </c>
      <c r="BY8" s="69">
        <f t="shared" si="30"/>
        <v>0</v>
      </c>
      <c r="BZ8" s="8">
        <v>0</v>
      </c>
      <c r="CA8" s="69">
        <f t="shared" si="31"/>
        <v>0</v>
      </c>
      <c r="CB8" s="69">
        <f t="shared" si="32"/>
        <v>0</v>
      </c>
      <c r="CC8" s="149">
        <f t="shared" si="33"/>
        <v>1</v>
      </c>
      <c r="CD8" s="149">
        <f t="shared" si="34"/>
        <v>0</v>
      </c>
      <c r="CE8" s="69">
        <f t="shared" si="35"/>
        <v>0</v>
      </c>
      <c r="CF8" s="69"/>
      <c r="CG8" s="42">
        <f t="shared" si="36"/>
        <v>744</v>
      </c>
      <c r="CH8" s="8">
        <v>0</v>
      </c>
      <c r="CI8" s="20">
        <v>160</v>
      </c>
      <c r="CK8" s="17"/>
      <c r="CL8" s="17" t="s">
        <v>37</v>
      </c>
      <c r="CM8" s="8">
        <v>0</v>
      </c>
      <c r="CN8" s="8">
        <v>0</v>
      </c>
      <c r="CO8" s="8">
        <v>0</v>
      </c>
      <c r="CP8" s="8">
        <v>0</v>
      </c>
      <c r="CQ8" s="6">
        <f t="shared" si="37"/>
        <v>0</v>
      </c>
      <c r="CR8" s="8">
        <v>720</v>
      </c>
      <c r="CS8" s="6">
        <f t="shared" si="38"/>
        <v>1</v>
      </c>
      <c r="CT8" s="6">
        <v>0</v>
      </c>
      <c r="CU8" s="6">
        <f t="shared" si="39"/>
        <v>0</v>
      </c>
      <c r="CV8" s="8">
        <v>0</v>
      </c>
      <c r="CW8" s="69">
        <f t="shared" si="40"/>
        <v>0</v>
      </c>
      <c r="CX8" s="69">
        <f t="shared" si="41"/>
        <v>0</v>
      </c>
      <c r="CY8" s="149">
        <f t="shared" si="42"/>
        <v>0</v>
      </c>
      <c r="CZ8" s="149">
        <f t="shared" si="43"/>
        <v>0</v>
      </c>
      <c r="DA8" s="69">
        <f t="shared" si="44"/>
        <v>0</v>
      </c>
      <c r="DB8" s="6"/>
      <c r="DC8" s="6">
        <f t="shared" si="45"/>
        <v>720</v>
      </c>
      <c r="DD8" s="8">
        <v>0</v>
      </c>
      <c r="DE8" s="20">
        <v>160</v>
      </c>
      <c r="DG8" s="17"/>
      <c r="DH8" s="17" t="s">
        <v>37</v>
      </c>
      <c r="DI8" s="8">
        <v>0</v>
      </c>
      <c r="DJ8" s="8">
        <v>0</v>
      </c>
      <c r="DK8" s="8">
        <v>0</v>
      </c>
      <c r="DL8" s="8">
        <v>0</v>
      </c>
      <c r="DM8" s="69">
        <f t="shared" si="46"/>
        <v>0</v>
      </c>
      <c r="DN8" s="8">
        <v>744</v>
      </c>
      <c r="DO8" s="69">
        <f t="shared" si="47"/>
        <v>1</v>
      </c>
      <c r="DP8" s="6">
        <v>0</v>
      </c>
      <c r="DQ8" s="69">
        <f t="shared" si="48"/>
        <v>0</v>
      </c>
      <c r="DR8" s="8">
        <v>0</v>
      </c>
      <c r="DS8" s="69">
        <f t="shared" si="49"/>
        <v>0</v>
      </c>
      <c r="DT8" s="69">
        <f t="shared" si="50"/>
        <v>0</v>
      </c>
      <c r="DU8" s="149">
        <f t="shared" si="51"/>
        <v>0</v>
      </c>
      <c r="DV8" s="149">
        <f t="shared" si="52"/>
        <v>0</v>
      </c>
      <c r="DW8" s="69">
        <f t="shared" si="53"/>
        <v>0</v>
      </c>
      <c r="DX8" s="69"/>
      <c r="DY8" s="6">
        <f t="shared" si="54"/>
        <v>744</v>
      </c>
      <c r="DZ8" s="8">
        <v>0</v>
      </c>
      <c r="EA8" s="20">
        <v>160</v>
      </c>
      <c r="EC8" s="17"/>
      <c r="ED8" s="17" t="s">
        <v>37</v>
      </c>
      <c r="EE8" s="8">
        <v>0</v>
      </c>
      <c r="EF8" s="8">
        <v>0</v>
      </c>
      <c r="EG8" s="8">
        <v>0</v>
      </c>
      <c r="EH8" s="8">
        <v>0</v>
      </c>
      <c r="EI8" s="6">
        <f t="shared" si="55"/>
        <v>0</v>
      </c>
      <c r="EJ8" s="8">
        <v>744</v>
      </c>
      <c r="EK8" s="6">
        <f t="shared" si="56"/>
        <v>1</v>
      </c>
      <c r="EL8" s="6">
        <v>0</v>
      </c>
      <c r="EM8" s="6">
        <f t="shared" si="57"/>
        <v>0</v>
      </c>
      <c r="EN8" s="8">
        <v>0</v>
      </c>
      <c r="EO8" s="69">
        <f t="shared" si="58"/>
        <v>0</v>
      </c>
      <c r="EP8" s="69">
        <f t="shared" si="59"/>
        <v>0</v>
      </c>
      <c r="EQ8" s="149">
        <f t="shared" si="60"/>
        <v>0</v>
      </c>
      <c r="ER8" s="149">
        <f t="shared" si="61"/>
        <v>0</v>
      </c>
      <c r="ES8" s="69">
        <f t="shared" si="62"/>
        <v>0</v>
      </c>
      <c r="ET8" s="6"/>
      <c r="EU8" s="6">
        <f t="shared" si="63"/>
        <v>744</v>
      </c>
      <c r="EV8" s="8">
        <v>0</v>
      </c>
      <c r="EW8" s="20">
        <v>160</v>
      </c>
      <c r="EY8" s="17"/>
      <c r="EZ8" s="17" t="s">
        <v>37</v>
      </c>
      <c r="FA8" s="8">
        <v>0</v>
      </c>
      <c r="FB8" s="8">
        <v>0</v>
      </c>
      <c r="FC8" s="8">
        <v>0</v>
      </c>
      <c r="FD8" s="8">
        <v>0</v>
      </c>
      <c r="FE8" s="6">
        <f t="shared" si="64"/>
        <v>0</v>
      </c>
      <c r="FF8" s="8">
        <v>672</v>
      </c>
      <c r="FG8" s="6">
        <f t="shared" si="65"/>
        <v>1</v>
      </c>
      <c r="FH8" s="6">
        <v>0</v>
      </c>
      <c r="FI8" s="6">
        <f t="shared" si="66"/>
        <v>0</v>
      </c>
      <c r="FJ8" s="8">
        <v>0</v>
      </c>
      <c r="FK8" s="69">
        <f t="shared" si="67"/>
        <v>0</v>
      </c>
      <c r="FL8" s="69">
        <f t="shared" si="68"/>
        <v>0</v>
      </c>
      <c r="FM8" s="149">
        <f t="shared" si="69"/>
        <v>0</v>
      </c>
      <c r="FN8" s="149">
        <f t="shared" si="70"/>
        <v>0</v>
      </c>
      <c r="FO8" s="69">
        <f t="shared" si="71"/>
        <v>0</v>
      </c>
      <c r="FP8" s="6"/>
      <c r="FQ8" s="6">
        <f t="shared" si="72"/>
        <v>672</v>
      </c>
      <c r="FR8" s="8">
        <v>0</v>
      </c>
      <c r="FS8" s="20">
        <v>160</v>
      </c>
      <c r="FU8" s="17"/>
      <c r="FV8" s="17" t="s">
        <v>37</v>
      </c>
      <c r="FW8" s="8">
        <v>0</v>
      </c>
      <c r="FX8" s="8">
        <v>0</v>
      </c>
      <c r="FY8" s="8">
        <v>0</v>
      </c>
      <c r="FZ8" s="8">
        <v>0</v>
      </c>
      <c r="GA8" s="69">
        <f t="shared" si="73"/>
        <v>0</v>
      </c>
      <c r="GB8" s="8">
        <v>744</v>
      </c>
      <c r="GC8" s="69">
        <f t="shared" si="74"/>
        <v>1</v>
      </c>
      <c r="GD8" s="6">
        <v>0</v>
      </c>
      <c r="GE8" s="69">
        <f t="shared" si="75"/>
        <v>0</v>
      </c>
      <c r="GF8" s="8">
        <v>0</v>
      </c>
      <c r="GG8" s="69">
        <f t="shared" si="76"/>
        <v>0</v>
      </c>
      <c r="GH8" s="69">
        <f t="shared" si="77"/>
        <v>0</v>
      </c>
      <c r="GI8" s="149">
        <f t="shared" si="78"/>
        <v>0</v>
      </c>
      <c r="GJ8" s="149">
        <f t="shared" si="79"/>
        <v>0</v>
      </c>
      <c r="GK8" s="69">
        <f t="shared" si="80"/>
        <v>0</v>
      </c>
      <c r="GL8" s="69"/>
      <c r="GM8" s="6">
        <f t="shared" si="81"/>
        <v>744</v>
      </c>
      <c r="GN8" s="8">
        <v>0</v>
      </c>
      <c r="GO8" s="20">
        <v>160</v>
      </c>
      <c r="GQ8" s="17"/>
      <c r="GR8" s="17" t="s">
        <v>37</v>
      </c>
      <c r="GS8" s="8">
        <v>0</v>
      </c>
      <c r="GT8" s="8">
        <v>0</v>
      </c>
      <c r="GU8" s="8">
        <v>0</v>
      </c>
      <c r="GV8" s="8">
        <v>0</v>
      </c>
      <c r="GW8" s="6">
        <f t="shared" si="82"/>
        <v>0</v>
      </c>
      <c r="GX8" s="8">
        <v>720</v>
      </c>
      <c r="GY8" s="6">
        <f t="shared" si="83"/>
        <v>1</v>
      </c>
      <c r="GZ8" s="6">
        <v>0</v>
      </c>
      <c r="HA8" s="6">
        <f t="shared" si="84"/>
        <v>0</v>
      </c>
      <c r="HB8" s="8">
        <v>0</v>
      </c>
      <c r="HC8" s="69">
        <f t="shared" si="85"/>
        <v>0</v>
      </c>
      <c r="HD8" s="69">
        <f t="shared" si="86"/>
        <v>0</v>
      </c>
      <c r="HE8" s="149">
        <f t="shared" si="87"/>
        <v>0</v>
      </c>
      <c r="HF8" s="149">
        <f t="shared" si="88"/>
        <v>0</v>
      </c>
      <c r="HG8" s="69">
        <f t="shared" si="89"/>
        <v>0</v>
      </c>
      <c r="HH8" s="15">
        <v>0</v>
      </c>
      <c r="HI8" s="6">
        <f t="shared" si="90"/>
        <v>720</v>
      </c>
      <c r="HJ8" s="8">
        <v>0</v>
      </c>
      <c r="HK8" s="20">
        <v>160</v>
      </c>
      <c r="HM8" s="17"/>
      <c r="HN8" s="17" t="s">
        <v>37</v>
      </c>
      <c r="HO8" s="8">
        <v>323.10000000000002</v>
      </c>
      <c r="HP8" s="8">
        <v>278.3</v>
      </c>
      <c r="HQ8" s="107">
        <v>44.8</v>
      </c>
      <c r="HR8" s="8">
        <v>189.5</v>
      </c>
      <c r="HS8" s="6">
        <f t="shared" si="91"/>
        <v>0.25470430107526881</v>
      </c>
      <c r="HT8" s="8">
        <v>191.8</v>
      </c>
      <c r="HU8" s="6">
        <f t="shared" si="92"/>
        <v>0.2577956989247312</v>
      </c>
      <c r="HV8" s="108">
        <v>39.6</v>
      </c>
      <c r="HW8" s="6">
        <f t="shared" si="93"/>
        <v>5.3225806451612907E-2</v>
      </c>
      <c r="HX8" s="8">
        <v>0</v>
      </c>
      <c r="HY8" s="69">
        <f t="shared" si="94"/>
        <v>0.43427419354838714</v>
      </c>
      <c r="HZ8" s="69">
        <f t="shared" si="95"/>
        <v>0.43427419354838714</v>
      </c>
      <c r="IA8" s="149">
        <f t="shared" si="96"/>
        <v>0.40508764429243266</v>
      </c>
      <c r="IB8" s="149">
        <f t="shared" si="97"/>
        <v>0</v>
      </c>
      <c r="IC8" s="69">
        <f t="shared" si="98"/>
        <v>0.30005880376344085</v>
      </c>
      <c r="ID8" s="15">
        <v>2</v>
      </c>
      <c r="IE8" s="6">
        <f t="shared" si="99"/>
        <v>744.00000000000011</v>
      </c>
      <c r="IF8" s="86">
        <v>35719</v>
      </c>
      <c r="IG8" s="20">
        <v>160</v>
      </c>
      <c r="II8" s="17"/>
      <c r="IJ8" s="17" t="s">
        <v>37</v>
      </c>
      <c r="IK8" s="109">
        <v>704.2</v>
      </c>
      <c r="IL8" s="109">
        <v>704.2</v>
      </c>
      <c r="IM8" s="109">
        <v>0</v>
      </c>
      <c r="IN8" s="109">
        <v>0</v>
      </c>
      <c r="IO8" s="69">
        <f t="shared" si="100"/>
        <v>0</v>
      </c>
      <c r="IP8" s="109">
        <v>0</v>
      </c>
      <c r="IQ8" s="69">
        <f t="shared" si="101"/>
        <v>0</v>
      </c>
      <c r="IR8" s="109">
        <v>15.8</v>
      </c>
      <c r="IS8" s="69">
        <f t="shared" si="102"/>
        <v>2.1944444444444447E-2</v>
      </c>
      <c r="IT8" s="109">
        <v>0</v>
      </c>
      <c r="IU8" s="69">
        <f t="shared" si="103"/>
        <v>0.97805555555555557</v>
      </c>
      <c r="IV8" s="69">
        <f t="shared" si="104"/>
        <v>0.97805555555555557</v>
      </c>
      <c r="IW8" s="149">
        <f t="shared" si="105"/>
        <v>0</v>
      </c>
      <c r="IX8" s="149">
        <f t="shared" si="106"/>
        <v>0</v>
      </c>
      <c r="IY8" s="69">
        <f t="shared" si="107"/>
        <v>0.828125</v>
      </c>
      <c r="IZ8" s="15">
        <v>0</v>
      </c>
      <c r="JA8" s="15">
        <f t="shared" si="108"/>
        <v>720</v>
      </c>
      <c r="JB8" s="110">
        <v>95400</v>
      </c>
      <c r="JC8" s="20">
        <v>160</v>
      </c>
    </row>
    <row r="9" spans="1:263" ht="15" x14ac:dyDescent="0.25">
      <c r="B9" s="17" t="s">
        <v>38</v>
      </c>
      <c r="C9" s="6">
        <v>0</v>
      </c>
      <c r="D9" s="6">
        <v>0</v>
      </c>
      <c r="E9" s="6">
        <v>0</v>
      </c>
      <c r="F9" s="8">
        <v>744</v>
      </c>
      <c r="G9" s="6">
        <f t="shared" si="0"/>
        <v>1</v>
      </c>
      <c r="H9" s="8">
        <v>0</v>
      </c>
      <c r="I9" s="6">
        <f t="shared" si="1"/>
        <v>0</v>
      </c>
      <c r="J9" s="15">
        <v>0</v>
      </c>
      <c r="K9" s="6">
        <f t="shared" si="2"/>
        <v>0</v>
      </c>
      <c r="L9" s="8">
        <v>0</v>
      </c>
      <c r="M9" s="69">
        <f t="shared" si="4"/>
        <v>0</v>
      </c>
      <c r="N9" s="69">
        <f t="shared" si="5"/>
        <v>0</v>
      </c>
      <c r="O9" s="149">
        <f t="shared" si="6"/>
        <v>1</v>
      </c>
      <c r="P9" s="149">
        <f t="shared" si="3"/>
        <v>0</v>
      </c>
      <c r="Q9" s="69">
        <f t="shared" si="7"/>
        <v>0</v>
      </c>
      <c r="R9" s="15">
        <v>0</v>
      </c>
      <c r="S9" s="6">
        <f t="shared" si="8"/>
        <v>744</v>
      </c>
      <c r="T9" s="8">
        <v>0</v>
      </c>
      <c r="U9" s="20">
        <v>60</v>
      </c>
      <c r="X9" s="17" t="s">
        <v>38</v>
      </c>
      <c r="Y9" s="6">
        <f>$X$4-AB9-AD9-AF9</f>
        <v>0</v>
      </c>
      <c r="Z9" s="8">
        <v>0</v>
      </c>
      <c r="AA9" s="8">
        <v>0</v>
      </c>
      <c r="AB9" s="8">
        <v>744</v>
      </c>
      <c r="AC9" s="6">
        <f t="shared" si="10"/>
        <v>1</v>
      </c>
      <c r="AD9" s="8">
        <v>0</v>
      </c>
      <c r="AE9" s="6">
        <f t="shared" si="11"/>
        <v>0</v>
      </c>
      <c r="AF9" s="6">
        <v>0</v>
      </c>
      <c r="AG9" s="6">
        <f t="shared" si="12"/>
        <v>0</v>
      </c>
      <c r="AH9" s="8">
        <v>0</v>
      </c>
      <c r="AI9" s="69">
        <f t="shared" si="13"/>
        <v>0</v>
      </c>
      <c r="AJ9" s="69">
        <f t="shared" si="14"/>
        <v>0</v>
      </c>
      <c r="AK9" s="149">
        <f t="shared" si="15"/>
        <v>1</v>
      </c>
      <c r="AL9" s="149">
        <f t="shared" si="16"/>
        <v>0</v>
      </c>
      <c r="AM9" s="69">
        <f t="shared" si="17"/>
        <v>0</v>
      </c>
      <c r="AN9" s="15">
        <v>0</v>
      </c>
      <c r="AO9" s="6">
        <f t="shared" si="18"/>
        <v>744</v>
      </c>
      <c r="AP9" s="8">
        <v>0</v>
      </c>
      <c r="AQ9" s="20">
        <v>60</v>
      </c>
      <c r="AT9" s="17" t="s">
        <v>38</v>
      </c>
      <c r="AU9" s="8">
        <v>0</v>
      </c>
      <c r="AV9" s="8">
        <v>0</v>
      </c>
      <c r="AW9" s="8">
        <v>0</v>
      </c>
      <c r="AX9" s="8">
        <v>720</v>
      </c>
      <c r="AY9" s="6">
        <f t="shared" si="19"/>
        <v>1</v>
      </c>
      <c r="AZ9" s="8">
        <v>0</v>
      </c>
      <c r="BA9" s="6">
        <f t="shared" si="20"/>
        <v>0</v>
      </c>
      <c r="BB9" s="6">
        <v>0</v>
      </c>
      <c r="BC9" s="6">
        <f t="shared" si="21"/>
        <v>0</v>
      </c>
      <c r="BD9" s="8">
        <v>0</v>
      </c>
      <c r="BE9" s="69">
        <f t="shared" si="22"/>
        <v>0</v>
      </c>
      <c r="BF9" s="69">
        <f t="shared" si="23"/>
        <v>0</v>
      </c>
      <c r="BG9" s="149">
        <f t="shared" si="24"/>
        <v>1</v>
      </c>
      <c r="BH9" s="149">
        <f t="shared" si="25"/>
        <v>0</v>
      </c>
      <c r="BI9" s="69">
        <f t="shared" si="26"/>
        <v>0</v>
      </c>
      <c r="BJ9" s="6"/>
      <c r="BK9" s="6">
        <f t="shared" si="27"/>
        <v>720</v>
      </c>
      <c r="BL9" s="8">
        <v>0</v>
      </c>
      <c r="BM9" s="20">
        <v>60</v>
      </c>
      <c r="BP9" s="17" t="s">
        <v>38</v>
      </c>
      <c r="BQ9" s="8">
        <v>0</v>
      </c>
      <c r="BR9" s="8">
        <v>0</v>
      </c>
      <c r="BS9" s="8">
        <v>0</v>
      </c>
      <c r="BT9" s="8">
        <v>744</v>
      </c>
      <c r="BU9" s="69">
        <f t="shared" si="28"/>
        <v>1</v>
      </c>
      <c r="BV9" s="8">
        <v>0</v>
      </c>
      <c r="BW9" s="69">
        <f t="shared" si="29"/>
        <v>0</v>
      </c>
      <c r="BX9" s="6">
        <v>0</v>
      </c>
      <c r="BY9" s="69">
        <f t="shared" si="30"/>
        <v>0</v>
      </c>
      <c r="BZ9" s="8">
        <v>0</v>
      </c>
      <c r="CA9" s="69">
        <f t="shared" si="31"/>
        <v>0</v>
      </c>
      <c r="CB9" s="69">
        <f t="shared" si="32"/>
        <v>0</v>
      </c>
      <c r="CC9" s="149">
        <f t="shared" si="33"/>
        <v>1</v>
      </c>
      <c r="CD9" s="149">
        <f t="shared" si="34"/>
        <v>0</v>
      </c>
      <c r="CE9" s="69">
        <f t="shared" si="35"/>
        <v>0</v>
      </c>
      <c r="CF9" s="69"/>
      <c r="CG9" s="42">
        <f t="shared" si="36"/>
        <v>744</v>
      </c>
      <c r="CH9" s="8">
        <v>0</v>
      </c>
      <c r="CI9" s="20">
        <v>60</v>
      </c>
      <c r="CL9" s="17" t="s">
        <v>38</v>
      </c>
      <c r="CM9" s="8">
        <v>0</v>
      </c>
      <c r="CN9" s="8">
        <v>0</v>
      </c>
      <c r="CO9" s="8">
        <v>0</v>
      </c>
      <c r="CP9" s="8">
        <v>0</v>
      </c>
      <c r="CQ9" s="6">
        <f t="shared" si="37"/>
        <v>0</v>
      </c>
      <c r="CR9" s="8">
        <v>720</v>
      </c>
      <c r="CS9" s="6">
        <f t="shared" si="38"/>
        <v>1</v>
      </c>
      <c r="CT9" s="6">
        <v>0</v>
      </c>
      <c r="CU9" s="6">
        <f t="shared" si="39"/>
        <v>0</v>
      </c>
      <c r="CV9" s="8">
        <v>0</v>
      </c>
      <c r="CW9" s="69">
        <f t="shared" si="40"/>
        <v>0</v>
      </c>
      <c r="CX9" s="69">
        <f t="shared" si="41"/>
        <v>0</v>
      </c>
      <c r="CY9" s="149">
        <f t="shared" si="42"/>
        <v>0</v>
      </c>
      <c r="CZ9" s="149">
        <f t="shared" si="43"/>
        <v>0</v>
      </c>
      <c r="DA9" s="69">
        <f t="shared" si="44"/>
        <v>0</v>
      </c>
      <c r="DB9" s="6"/>
      <c r="DC9" s="6">
        <f t="shared" si="45"/>
        <v>720</v>
      </c>
      <c r="DD9" s="8">
        <v>0</v>
      </c>
      <c r="DE9" s="20">
        <v>60</v>
      </c>
      <c r="DH9" s="17" t="s">
        <v>38</v>
      </c>
      <c r="DI9" s="8">
        <v>0</v>
      </c>
      <c r="DJ9" s="8">
        <v>0</v>
      </c>
      <c r="DK9" s="8">
        <v>0</v>
      </c>
      <c r="DL9" s="8">
        <v>0</v>
      </c>
      <c r="DM9" s="69">
        <f t="shared" si="46"/>
        <v>0</v>
      </c>
      <c r="DN9" s="8">
        <v>744</v>
      </c>
      <c r="DO9" s="69">
        <f t="shared" si="47"/>
        <v>1</v>
      </c>
      <c r="DP9" s="6">
        <v>0</v>
      </c>
      <c r="DQ9" s="69">
        <f t="shared" si="48"/>
        <v>0</v>
      </c>
      <c r="DR9" s="8">
        <v>0</v>
      </c>
      <c r="DS9" s="69">
        <f t="shared" si="49"/>
        <v>0</v>
      </c>
      <c r="DT9" s="69">
        <f t="shared" si="50"/>
        <v>0</v>
      </c>
      <c r="DU9" s="149">
        <f t="shared" si="51"/>
        <v>0</v>
      </c>
      <c r="DV9" s="149">
        <f t="shared" si="52"/>
        <v>0</v>
      </c>
      <c r="DW9" s="69">
        <f t="shared" si="53"/>
        <v>0</v>
      </c>
      <c r="DX9" s="69"/>
      <c r="DY9" s="6">
        <f t="shared" si="54"/>
        <v>744</v>
      </c>
      <c r="DZ9" s="8">
        <v>0</v>
      </c>
      <c r="EA9" s="20">
        <v>60</v>
      </c>
      <c r="ED9" s="17" t="s">
        <v>38</v>
      </c>
      <c r="EE9" s="8">
        <v>0</v>
      </c>
      <c r="EF9" s="8">
        <v>0</v>
      </c>
      <c r="EG9" s="8">
        <v>0</v>
      </c>
      <c r="EH9" s="8">
        <v>0</v>
      </c>
      <c r="EI9" s="6">
        <f t="shared" si="55"/>
        <v>0</v>
      </c>
      <c r="EJ9" s="8">
        <v>744</v>
      </c>
      <c r="EK9" s="6">
        <f t="shared" si="56"/>
        <v>1</v>
      </c>
      <c r="EL9" s="6">
        <v>0</v>
      </c>
      <c r="EM9" s="6">
        <f t="shared" si="57"/>
        <v>0</v>
      </c>
      <c r="EN9" s="8">
        <v>0</v>
      </c>
      <c r="EO9" s="69">
        <f t="shared" si="58"/>
        <v>0</v>
      </c>
      <c r="EP9" s="69">
        <f t="shared" si="59"/>
        <v>0</v>
      </c>
      <c r="EQ9" s="149">
        <f t="shared" si="60"/>
        <v>0</v>
      </c>
      <c r="ER9" s="149">
        <f t="shared" si="61"/>
        <v>0</v>
      </c>
      <c r="ES9" s="69">
        <f t="shared" si="62"/>
        <v>0</v>
      </c>
      <c r="ET9" s="6"/>
      <c r="EU9" s="6">
        <f t="shared" si="63"/>
        <v>744</v>
      </c>
      <c r="EV9" s="8">
        <v>0</v>
      </c>
      <c r="EW9" s="20">
        <v>60</v>
      </c>
      <c r="EZ9" s="17" t="s">
        <v>38</v>
      </c>
      <c r="FA9" s="8">
        <v>0</v>
      </c>
      <c r="FB9" s="8">
        <v>0</v>
      </c>
      <c r="FC9" s="8">
        <v>0</v>
      </c>
      <c r="FD9" s="8">
        <v>0</v>
      </c>
      <c r="FE9" s="6">
        <f t="shared" si="64"/>
        <v>0</v>
      </c>
      <c r="FF9" s="8">
        <v>672</v>
      </c>
      <c r="FG9" s="6">
        <f t="shared" si="65"/>
        <v>1</v>
      </c>
      <c r="FH9" s="6">
        <v>0</v>
      </c>
      <c r="FI9" s="6">
        <f t="shared" si="66"/>
        <v>0</v>
      </c>
      <c r="FJ9" s="8">
        <v>0</v>
      </c>
      <c r="FK9" s="69">
        <f t="shared" si="67"/>
        <v>0</v>
      </c>
      <c r="FL9" s="69">
        <f t="shared" si="68"/>
        <v>0</v>
      </c>
      <c r="FM9" s="149">
        <f t="shared" si="69"/>
        <v>0</v>
      </c>
      <c r="FN9" s="149">
        <f t="shared" si="70"/>
        <v>0</v>
      </c>
      <c r="FO9" s="69">
        <f t="shared" si="71"/>
        <v>0</v>
      </c>
      <c r="FP9" s="6"/>
      <c r="FQ9" s="6">
        <f t="shared" si="72"/>
        <v>672</v>
      </c>
      <c r="FR9" s="8">
        <v>0</v>
      </c>
      <c r="FS9" s="20">
        <v>60</v>
      </c>
      <c r="FV9" s="17" t="s">
        <v>38</v>
      </c>
      <c r="FW9" s="8">
        <v>0</v>
      </c>
      <c r="FX9" s="8">
        <v>0</v>
      </c>
      <c r="FY9" s="8">
        <v>0</v>
      </c>
      <c r="FZ9" s="8">
        <v>0</v>
      </c>
      <c r="GA9" s="69">
        <f t="shared" si="73"/>
        <v>0</v>
      </c>
      <c r="GB9" s="8">
        <v>744</v>
      </c>
      <c r="GC9" s="69">
        <f t="shared" si="74"/>
        <v>1</v>
      </c>
      <c r="GD9" s="6">
        <v>0</v>
      </c>
      <c r="GE9" s="69">
        <f t="shared" si="75"/>
        <v>0</v>
      </c>
      <c r="GF9" s="8">
        <v>0</v>
      </c>
      <c r="GG9" s="69">
        <f t="shared" si="76"/>
        <v>0</v>
      </c>
      <c r="GH9" s="69">
        <f t="shared" si="77"/>
        <v>0</v>
      </c>
      <c r="GI9" s="149">
        <f t="shared" si="78"/>
        <v>0</v>
      </c>
      <c r="GJ9" s="149">
        <f t="shared" si="79"/>
        <v>0</v>
      </c>
      <c r="GK9" s="69">
        <f t="shared" si="80"/>
        <v>0</v>
      </c>
      <c r="GL9" s="69"/>
      <c r="GM9" s="6">
        <f t="shared" si="81"/>
        <v>744</v>
      </c>
      <c r="GN9" s="8">
        <v>0</v>
      </c>
      <c r="GO9" s="20">
        <v>60</v>
      </c>
      <c r="GR9" s="17" t="s">
        <v>38</v>
      </c>
      <c r="GS9" s="8">
        <v>0</v>
      </c>
      <c r="GT9" s="8">
        <v>0</v>
      </c>
      <c r="GU9" s="8">
        <v>0</v>
      </c>
      <c r="GV9" s="8">
        <v>0</v>
      </c>
      <c r="GW9" s="6">
        <f t="shared" si="82"/>
        <v>0</v>
      </c>
      <c r="GX9" s="8">
        <v>720</v>
      </c>
      <c r="GY9" s="6">
        <f t="shared" si="83"/>
        <v>1</v>
      </c>
      <c r="GZ9" s="6">
        <v>0</v>
      </c>
      <c r="HA9" s="6">
        <f t="shared" si="84"/>
        <v>0</v>
      </c>
      <c r="HB9" s="8">
        <v>0</v>
      </c>
      <c r="HC9" s="69">
        <f t="shared" si="85"/>
        <v>0</v>
      </c>
      <c r="HD9" s="69">
        <f t="shared" si="86"/>
        <v>0</v>
      </c>
      <c r="HE9" s="149">
        <f t="shared" si="87"/>
        <v>0</v>
      </c>
      <c r="HF9" s="149">
        <f t="shared" si="88"/>
        <v>0</v>
      </c>
      <c r="HG9" s="69">
        <f t="shared" si="89"/>
        <v>0</v>
      </c>
      <c r="HH9" s="15">
        <v>0</v>
      </c>
      <c r="HI9" s="6">
        <f t="shared" si="90"/>
        <v>720</v>
      </c>
      <c r="HJ9" s="8">
        <v>0</v>
      </c>
      <c r="HK9" s="20">
        <v>60</v>
      </c>
      <c r="HN9" s="17" t="s">
        <v>38</v>
      </c>
      <c r="HO9" s="8">
        <v>0</v>
      </c>
      <c r="HP9" s="8">
        <v>0</v>
      </c>
      <c r="HQ9" s="107">
        <v>0</v>
      </c>
      <c r="HR9" s="8">
        <v>0</v>
      </c>
      <c r="HS9" s="6">
        <f t="shared" si="91"/>
        <v>0</v>
      </c>
      <c r="HT9" s="8">
        <v>744</v>
      </c>
      <c r="HU9" s="6">
        <f t="shared" si="92"/>
        <v>1</v>
      </c>
      <c r="HV9" s="108">
        <v>0</v>
      </c>
      <c r="HW9" s="6">
        <f t="shared" si="93"/>
        <v>0</v>
      </c>
      <c r="HX9" s="8">
        <v>0</v>
      </c>
      <c r="HY9" s="69">
        <f t="shared" si="94"/>
        <v>0</v>
      </c>
      <c r="HZ9" s="69">
        <f t="shared" si="95"/>
        <v>0</v>
      </c>
      <c r="IA9" s="149">
        <f t="shared" si="96"/>
        <v>0</v>
      </c>
      <c r="IB9" s="149">
        <f t="shared" si="97"/>
        <v>0</v>
      </c>
      <c r="IC9" s="69">
        <f t="shared" si="98"/>
        <v>0</v>
      </c>
      <c r="ID9" s="15">
        <v>0</v>
      </c>
      <c r="IE9" s="6">
        <f t="shared" si="99"/>
        <v>744</v>
      </c>
      <c r="IF9" s="8">
        <v>0</v>
      </c>
      <c r="IG9" s="20">
        <v>60</v>
      </c>
      <c r="IJ9" s="17" t="s">
        <v>38</v>
      </c>
      <c r="IK9" s="109">
        <v>0</v>
      </c>
      <c r="IL9" s="109">
        <v>0</v>
      </c>
      <c r="IM9" s="109">
        <v>0</v>
      </c>
      <c r="IN9" s="109">
        <v>0</v>
      </c>
      <c r="IO9" s="69">
        <f t="shared" si="100"/>
        <v>0</v>
      </c>
      <c r="IP9" s="109">
        <v>720</v>
      </c>
      <c r="IQ9" s="69">
        <f t="shared" si="101"/>
        <v>1</v>
      </c>
      <c r="IR9" s="109">
        <v>0</v>
      </c>
      <c r="IS9" s="69">
        <f t="shared" si="102"/>
        <v>0</v>
      </c>
      <c r="IT9" s="109">
        <v>0</v>
      </c>
      <c r="IU9" s="69">
        <f t="shared" si="103"/>
        <v>0</v>
      </c>
      <c r="IV9" s="69">
        <f t="shared" si="104"/>
        <v>0</v>
      </c>
      <c r="IW9" s="149">
        <f t="shared" si="105"/>
        <v>0</v>
      </c>
      <c r="IX9" s="149">
        <f t="shared" si="106"/>
        <v>0</v>
      </c>
      <c r="IY9" s="69">
        <f t="shared" si="107"/>
        <v>0</v>
      </c>
      <c r="IZ9" s="15">
        <v>0</v>
      </c>
      <c r="JA9" s="15">
        <f t="shared" si="108"/>
        <v>720</v>
      </c>
      <c r="JB9" s="110">
        <v>0</v>
      </c>
      <c r="JC9" s="20">
        <v>60</v>
      </c>
    </row>
    <row r="10" spans="1:263" ht="15" x14ac:dyDescent="0.25">
      <c r="B10" s="17">
        <v>7</v>
      </c>
      <c r="C10" s="6">
        <v>416.3</v>
      </c>
      <c r="D10" s="6">
        <v>416.3</v>
      </c>
      <c r="E10" s="6">
        <v>0</v>
      </c>
      <c r="F10" s="8">
        <v>327.7</v>
      </c>
      <c r="G10" s="6">
        <f t="shared" si="0"/>
        <v>0.4404569892473118</v>
      </c>
      <c r="H10" s="8">
        <v>0</v>
      </c>
      <c r="I10" s="6">
        <f t="shared" si="1"/>
        <v>0</v>
      </c>
      <c r="J10" s="15">
        <v>0</v>
      </c>
      <c r="K10" s="6">
        <f t="shared" si="2"/>
        <v>0</v>
      </c>
      <c r="L10" s="8">
        <v>22</v>
      </c>
      <c r="M10" s="69">
        <f t="shared" si="4"/>
        <v>0.5595430107526882</v>
      </c>
      <c r="N10" s="69">
        <f t="shared" si="5"/>
        <v>0.52997311827956994</v>
      </c>
      <c r="O10" s="149">
        <f t="shared" si="6"/>
        <v>0.45652741514360312</v>
      </c>
      <c r="P10" s="149">
        <f t="shared" si="3"/>
        <v>2.9569892473118281E-2</v>
      </c>
      <c r="Q10" s="69">
        <f t="shared" si="7"/>
        <v>0.40533602150537634</v>
      </c>
      <c r="R10" s="15">
        <v>3</v>
      </c>
      <c r="S10" s="6">
        <f t="shared" si="8"/>
        <v>744</v>
      </c>
      <c r="T10" s="86">
        <v>30157</v>
      </c>
      <c r="U10" s="20">
        <v>100</v>
      </c>
      <c r="X10" s="17">
        <v>7</v>
      </c>
      <c r="Y10" s="6">
        <f t="shared" si="9"/>
        <v>701.3</v>
      </c>
      <c r="Z10" s="8">
        <v>701.3</v>
      </c>
      <c r="AA10" s="8">
        <v>0</v>
      </c>
      <c r="AB10" s="8">
        <v>42.7</v>
      </c>
      <c r="AC10" s="6">
        <f t="shared" si="10"/>
        <v>5.7392473118279573E-2</v>
      </c>
      <c r="AD10" s="8">
        <v>0</v>
      </c>
      <c r="AE10" s="6">
        <f t="shared" si="11"/>
        <v>0</v>
      </c>
      <c r="AF10" s="6">
        <v>0</v>
      </c>
      <c r="AG10" s="6">
        <f t="shared" si="12"/>
        <v>0</v>
      </c>
      <c r="AH10" s="8">
        <v>16</v>
      </c>
      <c r="AI10" s="69">
        <f t="shared" si="13"/>
        <v>0.94260752688172034</v>
      </c>
      <c r="AJ10" s="69">
        <f t="shared" si="14"/>
        <v>0.92110215053763433</v>
      </c>
      <c r="AK10" s="149">
        <f t="shared" si="15"/>
        <v>7.7236842105263159E-2</v>
      </c>
      <c r="AL10" s="149">
        <f t="shared" si="16"/>
        <v>2.1505376344086023E-2</v>
      </c>
      <c r="AM10" s="69">
        <f t="shared" si="17"/>
        <v>0.69833333333333336</v>
      </c>
      <c r="AN10" s="15">
        <v>3</v>
      </c>
      <c r="AO10" s="6">
        <f t="shared" si="18"/>
        <v>744</v>
      </c>
      <c r="AP10" s="86">
        <v>51956</v>
      </c>
      <c r="AQ10" s="20">
        <v>100</v>
      </c>
      <c r="AT10" s="17">
        <v>7</v>
      </c>
      <c r="AU10" s="8">
        <v>717</v>
      </c>
      <c r="AV10" s="8">
        <v>717</v>
      </c>
      <c r="AW10" s="8">
        <v>0</v>
      </c>
      <c r="AX10" s="8">
        <v>3</v>
      </c>
      <c r="AY10" s="6">
        <f t="shared" si="19"/>
        <v>4.1666666666666666E-3</v>
      </c>
      <c r="AZ10" s="8">
        <v>0</v>
      </c>
      <c r="BA10" s="6">
        <f t="shared" si="20"/>
        <v>0</v>
      </c>
      <c r="BB10" s="6">
        <v>0</v>
      </c>
      <c r="BC10" s="6">
        <f t="shared" si="21"/>
        <v>0</v>
      </c>
      <c r="BD10" s="8">
        <v>32</v>
      </c>
      <c r="BE10" s="69">
        <f t="shared" si="22"/>
        <v>0.99583333333333335</v>
      </c>
      <c r="BF10" s="69">
        <f t="shared" si="23"/>
        <v>0.95138888888888884</v>
      </c>
      <c r="BG10" s="149">
        <f t="shared" si="24"/>
        <v>4.6542553191489359E-2</v>
      </c>
      <c r="BH10" s="149">
        <f t="shared" si="25"/>
        <v>4.4444444444444446E-2</v>
      </c>
      <c r="BI10" s="69">
        <f t="shared" si="26"/>
        <v>0.77334722222222219</v>
      </c>
      <c r="BJ10" s="6"/>
      <c r="BK10" s="6">
        <f t="shared" si="27"/>
        <v>720</v>
      </c>
      <c r="BL10" s="86">
        <v>55681</v>
      </c>
      <c r="BM10" s="20">
        <v>100</v>
      </c>
      <c r="BP10" s="17">
        <v>7</v>
      </c>
      <c r="BQ10" s="8">
        <v>29.7</v>
      </c>
      <c r="BR10" s="8">
        <v>29.7</v>
      </c>
      <c r="BS10" s="8">
        <v>0</v>
      </c>
      <c r="BT10" s="8">
        <v>714.3</v>
      </c>
      <c r="BU10" s="69">
        <f t="shared" si="28"/>
        <v>0.96008064516129021</v>
      </c>
      <c r="BV10" s="8">
        <v>0</v>
      </c>
      <c r="BW10" s="69">
        <f t="shared" si="29"/>
        <v>0</v>
      </c>
      <c r="BX10" s="6">
        <v>0</v>
      </c>
      <c r="BY10" s="69">
        <f t="shared" si="30"/>
        <v>0</v>
      </c>
      <c r="BZ10" s="8">
        <v>0</v>
      </c>
      <c r="CA10" s="69">
        <f t="shared" si="31"/>
        <v>3.9919354838709675E-2</v>
      </c>
      <c r="CB10" s="69">
        <f t="shared" si="32"/>
        <v>3.9919354838709675E-2</v>
      </c>
      <c r="CC10" s="149">
        <f t="shared" si="33"/>
        <v>0.96008064516129021</v>
      </c>
      <c r="CD10" s="149">
        <f t="shared" si="34"/>
        <v>0</v>
      </c>
      <c r="CE10" s="69">
        <f t="shared" si="35"/>
        <v>2.76747311827957E-2</v>
      </c>
      <c r="CF10" s="69"/>
      <c r="CG10" s="42">
        <f t="shared" si="36"/>
        <v>744</v>
      </c>
      <c r="CH10" s="86">
        <v>2059</v>
      </c>
      <c r="CI10" s="20">
        <v>100</v>
      </c>
      <c r="CL10" s="17">
        <v>7</v>
      </c>
      <c r="CM10" s="8">
        <v>0</v>
      </c>
      <c r="CN10" s="8">
        <v>0</v>
      </c>
      <c r="CO10" s="8">
        <v>0</v>
      </c>
      <c r="CP10" s="8">
        <v>360</v>
      </c>
      <c r="CQ10" s="6">
        <f t="shared" si="37"/>
        <v>0.5</v>
      </c>
      <c r="CR10" s="8">
        <v>0</v>
      </c>
      <c r="CS10" s="6">
        <f t="shared" si="38"/>
        <v>0</v>
      </c>
      <c r="CT10" s="6">
        <v>360</v>
      </c>
      <c r="CU10" s="6">
        <f t="shared" si="39"/>
        <v>0.5</v>
      </c>
      <c r="CV10" s="8">
        <v>0</v>
      </c>
      <c r="CW10" s="69">
        <f t="shared" si="40"/>
        <v>0</v>
      </c>
      <c r="CX10" s="69">
        <f t="shared" si="41"/>
        <v>0</v>
      </c>
      <c r="CY10" s="149">
        <f t="shared" si="42"/>
        <v>1</v>
      </c>
      <c r="CZ10" s="149">
        <f t="shared" si="43"/>
        <v>0</v>
      </c>
      <c r="DA10" s="69">
        <f t="shared" si="44"/>
        <v>0</v>
      </c>
      <c r="DB10" s="6"/>
      <c r="DC10" s="6">
        <f t="shared" si="45"/>
        <v>720</v>
      </c>
      <c r="DD10" s="8">
        <v>0</v>
      </c>
      <c r="DE10" s="20">
        <v>100</v>
      </c>
      <c r="DH10" s="17">
        <v>7</v>
      </c>
      <c r="DI10" s="8">
        <v>0</v>
      </c>
      <c r="DJ10" s="8">
        <v>0</v>
      </c>
      <c r="DK10" s="8">
        <v>0</v>
      </c>
      <c r="DL10" s="8">
        <v>0</v>
      </c>
      <c r="DM10" s="69">
        <f t="shared" si="46"/>
        <v>0</v>
      </c>
      <c r="DN10" s="8">
        <v>744</v>
      </c>
      <c r="DO10" s="69">
        <f t="shared" si="47"/>
        <v>1</v>
      </c>
      <c r="DP10" s="6">
        <v>0</v>
      </c>
      <c r="DQ10" s="69">
        <f t="shared" si="48"/>
        <v>0</v>
      </c>
      <c r="DR10" s="8">
        <v>0</v>
      </c>
      <c r="DS10" s="69">
        <f t="shared" si="49"/>
        <v>0</v>
      </c>
      <c r="DT10" s="69">
        <f t="shared" si="50"/>
        <v>0</v>
      </c>
      <c r="DU10" s="149">
        <f t="shared" si="51"/>
        <v>0</v>
      </c>
      <c r="DV10" s="149">
        <f t="shared" si="52"/>
        <v>0</v>
      </c>
      <c r="DW10" s="69">
        <f t="shared" si="53"/>
        <v>0</v>
      </c>
      <c r="DX10" s="69"/>
      <c r="DY10" s="6">
        <f t="shared" si="54"/>
        <v>744</v>
      </c>
      <c r="DZ10" s="8">
        <v>0</v>
      </c>
      <c r="EA10" s="20">
        <v>100</v>
      </c>
      <c r="ED10" s="17">
        <v>7</v>
      </c>
      <c r="EE10" s="8">
        <v>0</v>
      </c>
      <c r="EF10" s="8">
        <v>0</v>
      </c>
      <c r="EG10" s="8">
        <v>0</v>
      </c>
      <c r="EH10" s="8">
        <v>0</v>
      </c>
      <c r="EI10" s="6">
        <f t="shared" si="55"/>
        <v>0</v>
      </c>
      <c r="EJ10" s="8">
        <v>744</v>
      </c>
      <c r="EK10" s="6">
        <f t="shared" si="56"/>
        <v>1</v>
      </c>
      <c r="EL10" s="6">
        <v>0</v>
      </c>
      <c r="EM10" s="6">
        <f t="shared" si="57"/>
        <v>0</v>
      </c>
      <c r="EN10" s="8">
        <v>0</v>
      </c>
      <c r="EO10" s="69">
        <f t="shared" si="58"/>
        <v>0</v>
      </c>
      <c r="EP10" s="69">
        <f t="shared" si="59"/>
        <v>0</v>
      </c>
      <c r="EQ10" s="149">
        <f t="shared" si="60"/>
        <v>0</v>
      </c>
      <c r="ER10" s="149">
        <f t="shared" si="61"/>
        <v>0</v>
      </c>
      <c r="ES10" s="69">
        <f t="shared" si="62"/>
        <v>0</v>
      </c>
      <c r="ET10" s="6"/>
      <c r="EU10" s="6">
        <f t="shared" si="63"/>
        <v>744</v>
      </c>
      <c r="EV10" s="8">
        <v>0</v>
      </c>
      <c r="EW10" s="20">
        <v>100</v>
      </c>
      <c r="EZ10" s="17">
        <v>7</v>
      </c>
      <c r="FA10" s="8">
        <v>0</v>
      </c>
      <c r="FB10" s="8">
        <v>0</v>
      </c>
      <c r="FC10" s="8">
        <v>0</v>
      </c>
      <c r="FD10" s="8">
        <v>0</v>
      </c>
      <c r="FE10" s="6">
        <f t="shared" si="64"/>
        <v>0</v>
      </c>
      <c r="FF10" s="8">
        <v>672</v>
      </c>
      <c r="FG10" s="6">
        <f t="shared" si="65"/>
        <v>1</v>
      </c>
      <c r="FH10" s="6">
        <v>0</v>
      </c>
      <c r="FI10" s="6">
        <f t="shared" si="66"/>
        <v>0</v>
      </c>
      <c r="FJ10" s="8">
        <v>0</v>
      </c>
      <c r="FK10" s="69">
        <f t="shared" si="67"/>
        <v>0</v>
      </c>
      <c r="FL10" s="69">
        <f t="shared" si="68"/>
        <v>0</v>
      </c>
      <c r="FM10" s="149">
        <f t="shared" si="69"/>
        <v>0</v>
      </c>
      <c r="FN10" s="149">
        <f t="shared" si="70"/>
        <v>0</v>
      </c>
      <c r="FO10" s="69">
        <f t="shared" si="71"/>
        <v>0</v>
      </c>
      <c r="FP10" s="6"/>
      <c r="FQ10" s="6">
        <f t="shared" si="72"/>
        <v>672</v>
      </c>
      <c r="FR10" s="8">
        <v>0</v>
      </c>
      <c r="FS10" s="20">
        <v>100</v>
      </c>
      <c r="FV10" s="17">
        <v>7</v>
      </c>
      <c r="FW10" s="8">
        <v>0</v>
      </c>
      <c r="FX10" s="8">
        <v>0</v>
      </c>
      <c r="FY10" s="8">
        <v>0</v>
      </c>
      <c r="FZ10" s="8">
        <v>0</v>
      </c>
      <c r="GA10" s="69">
        <f t="shared" si="73"/>
        <v>0</v>
      </c>
      <c r="GB10" s="8">
        <v>744</v>
      </c>
      <c r="GC10" s="69">
        <f t="shared" si="74"/>
        <v>1</v>
      </c>
      <c r="GD10" s="6">
        <v>0</v>
      </c>
      <c r="GE10" s="69">
        <f t="shared" si="75"/>
        <v>0</v>
      </c>
      <c r="GF10" s="8">
        <v>0</v>
      </c>
      <c r="GG10" s="69">
        <f t="shared" si="76"/>
        <v>0</v>
      </c>
      <c r="GH10" s="69">
        <f t="shared" si="77"/>
        <v>0</v>
      </c>
      <c r="GI10" s="149">
        <f t="shared" si="78"/>
        <v>0</v>
      </c>
      <c r="GJ10" s="149">
        <f t="shared" si="79"/>
        <v>0</v>
      </c>
      <c r="GK10" s="69">
        <f t="shared" si="80"/>
        <v>0</v>
      </c>
      <c r="GL10" s="69"/>
      <c r="GM10" s="6">
        <f t="shared" si="81"/>
        <v>744</v>
      </c>
      <c r="GN10" s="8">
        <v>0</v>
      </c>
      <c r="GO10" s="20">
        <v>100</v>
      </c>
      <c r="GR10" s="17">
        <v>7</v>
      </c>
      <c r="GS10" s="8">
        <v>0</v>
      </c>
      <c r="GT10" s="8">
        <v>0</v>
      </c>
      <c r="GU10" s="8">
        <v>0</v>
      </c>
      <c r="GV10" s="8">
        <v>0</v>
      </c>
      <c r="GW10" s="6">
        <f t="shared" si="82"/>
        <v>0</v>
      </c>
      <c r="GX10" s="8">
        <v>720</v>
      </c>
      <c r="GY10" s="6">
        <f t="shared" si="83"/>
        <v>1</v>
      </c>
      <c r="GZ10" s="6">
        <v>0</v>
      </c>
      <c r="HA10" s="6">
        <f t="shared" si="84"/>
        <v>0</v>
      </c>
      <c r="HB10" s="8">
        <v>0</v>
      </c>
      <c r="HC10" s="69">
        <f t="shared" si="85"/>
        <v>0</v>
      </c>
      <c r="HD10" s="69">
        <f t="shared" si="86"/>
        <v>0</v>
      </c>
      <c r="HE10" s="149">
        <f t="shared" si="87"/>
        <v>0</v>
      </c>
      <c r="HF10" s="149">
        <f t="shared" si="88"/>
        <v>0</v>
      </c>
      <c r="HG10" s="69">
        <f t="shared" si="89"/>
        <v>0</v>
      </c>
      <c r="HH10" s="15">
        <v>0</v>
      </c>
      <c r="HI10" s="6">
        <f t="shared" si="90"/>
        <v>720</v>
      </c>
      <c r="HJ10" s="8">
        <v>0</v>
      </c>
      <c r="HK10" s="20">
        <v>100</v>
      </c>
      <c r="HN10" s="17">
        <v>7</v>
      </c>
      <c r="HO10" s="8">
        <v>0</v>
      </c>
      <c r="HP10" s="8">
        <v>0</v>
      </c>
      <c r="HQ10" s="107">
        <v>0</v>
      </c>
      <c r="HR10" s="8">
        <v>0</v>
      </c>
      <c r="HS10" s="6">
        <f t="shared" si="91"/>
        <v>0</v>
      </c>
      <c r="HT10" s="8">
        <v>744</v>
      </c>
      <c r="HU10" s="6">
        <f t="shared" si="92"/>
        <v>1</v>
      </c>
      <c r="HV10" s="108">
        <v>0</v>
      </c>
      <c r="HW10" s="6">
        <f t="shared" si="93"/>
        <v>0</v>
      </c>
      <c r="HX10" s="8">
        <v>0</v>
      </c>
      <c r="HY10" s="69">
        <f t="shared" si="94"/>
        <v>0</v>
      </c>
      <c r="HZ10" s="69">
        <f t="shared" si="95"/>
        <v>0</v>
      </c>
      <c r="IA10" s="149">
        <f t="shared" si="96"/>
        <v>0</v>
      </c>
      <c r="IB10" s="149">
        <f t="shared" si="97"/>
        <v>0</v>
      </c>
      <c r="IC10" s="69">
        <f t="shared" si="98"/>
        <v>0</v>
      </c>
      <c r="ID10" s="15">
        <v>0</v>
      </c>
      <c r="IE10" s="6">
        <f t="shared" si="99"/>
        <v>744</v>
      </c>
      <c r="IF10" s="8">
        <v>0</v>
      </c>
      <c r="IG10" s="20">
        <v>100</v>
      </c>
      <c r="IJ10" s="17">
        <v>7</v>
      </c>
      <c r="IK10" s="109">
        <v>0</v>
      </c>
      <c r="IL10" s="109">
        <v>0</v>
      </c>
      <c r="IM10" s="109">
        <v>0</v>
      </c>
      <c r="IN10" s="109">
        <v>0</v>
      </c>
      <c r="IO10" s="69">
        <f t="shared" si="100"/>
        <v>0</v>
      </c>
      <c r="IP10" s="109">
        <v>720</v>
      </c>
      <c r="IQ10" s="69">
        <f t="shared" si="101"/>
        <v>1</v>
      </c>
      <c r="IR10" s="109">
        <v>0</v>
      </c>
      <c r="IS10" s="69">
        <f t="shared" si="102"/>
        <v>0</v>
      </c>
      <c r="IT10" s="109">
        <v>0</v>
      </c>
      <c r="IU10" s="69">
        <f t="shared" si="103"/>
        <v>0</v>
      </c>
      <c r="IV10" s="69">
        <f t="shared" si="104"/>
        <v>0</v>
      </c>
      <c r="IW10" s="149">
        <f t="shared" si="105"/>
        <v>0</v>
      </c>
      <c r="IX10" s="149">
        <f t="shared" si="106"/>
        <v>0</v>
      </c>
      <c r="IY10" s="69">
        <f t="shared" si="107"/>
        <v>0</v>
      </c>
      <c r="IZ10" s="15">
        <v>0</v>
      </c>
      <c r="JA10" s="15">
        <f t="shared" si="108"/>
        <v>720</v>
      </c>
      <c r="JB10" s="110">
        <v>0</v>
      </c>
      <c r="JC10" s="20">
        <v>100</v>
      </c>
    </row>
    <row r="11" spans="1:263" ht="15" x14ac:dyDescent="0.25">
      <c r="A11" s="17"/>
      <c r="B11" s="17">
        <v>9</v>
      </c>
      <c r="C11" s="6">
        <v>413.1</v>
      </c>
      <c r="D11" s="6">
        <v>413.1</v>
      </c>
      <c r="E11" s="6">
        <v>0</v>
      </c>
      <c r="F11" s="8">
        <v>330.9</v>
      </c>
      <c r="G11" s="6">
        <f t="shared" si="0"/>
        <v>0.44475806451612898</v>
      </c>
      <c r="H11" s="8">
        <v>0</v>
      </c>
      <c r="I11" s="6">
        <f t="shared" si="1"/>
        <v>0</v>
      </c>
      <c r="J11" s="15">
        <v>0</v>
      </c>
      <c r="K11" s="6">
        <f t="shared" si="2"/>
        <v>0</v>
      </c>
      <c r="L11" s="8">
        <v>60</v>
      </c>
      <c r="M11" s="69">
        <f t="shared" si="4"/>
        <v>0.55524193548387102</v>
      </c>
      <c r="N11" s="69">
        <f t="shared" si="5"/>
        <v>0.4745967741935484</v>
      </c>
      <c r="O11" s="149">
        <f t="shared" si="6"/>
        <v>0.48619402985074622</v>
      </c>
      <c r="P11" s="149">
        <f t="shared" si="3"/>
        <v>8.0645161290322578E-2</v>
      </c>
      <c r="Q11" s="69">
        <f t="shared" si="7"/>
        <v>0.38932795698924733</v>
      </c>
      <c r="R11" s="15">
        <v>1</v>
      </c>
      <c r="S11" s="6">
        <f t="shared" si="8"/>
        <v>744</v>
      </c>
      <c r="T11" s="86">
        <v>28966</v>
      </c>
      <c r="U11" s="20">
        <v>100</v>
      </c>
      <c r="W11" s="17"/>
      <c r="X11" s="17">
        <v>9</v>
      </c>
      <c r="Y11" s="6">
        <f t="shared" si="9"/>
        <v>710.6</v>
      </c>
      <c r="Z11" s="8">
        <v>710.6</v>
      </c>
      <c r="AA11" s="8">
        <v>0</v>
      </c>
      <c r="AB11" s="8">
        <v>33.4</v>
      </c>
      <c r="AC11" s="6">
        <f t="shared" si="10"/>
        <v>4.4892473118279569E-2</v>
      </c>
      <c r="AD11" s="8">
        <v>0</v>
      </c>
      <c r="AE11" s="6">
        <f t="shared" si="11"/>
        <v>0</v>
      </c>
      <c r="AF11" s="6">
        <v>0</v>
      </c>
      <c r="AG11" s="6">
        <f t="shared" si="12"/>
        <v>0</v>
      </c>
      <c r="AH11" s="8">
        <v>0</v>
      </c>
      <c r="AI11" s="69">
        <f t="shared" si="13"/>
        <v>0.95510752688172051</v>
      </c>
      <c r="AJ11" s="69">
        <f t="shared" si="14"/>
        <v>0.95510752688172051</v>
      </c>
      <c r="AK11" s="149">
        <f t="shared" si="15"/>
        <v>4.4892473118279569E-2</v>
      </c>
      <c r="AL11" s="149">
        <f t="shared" si="16"/>
        <v>0</v>
      </c>
      <c r="AM11" s="69">
        <f t="shared" si="17"/>
        <v>0.71052419354838714</v>
      </c>
      <c r="AN11" s="15">
        <v>3</v>
      </c>
      <c r="AO11" s="6">
        <f t="shared" si="18"/>
        <v>744</v>
      </c>
      <c r="AP11" s="86">
        <v>52863</v>
      </c>
      <c r="AQ11" s="20">
        <v>100</v>
      </c>
      <c r="AS11" s="17"/>
      <c r="AT11" s="17">
        <v>9</v>
      </c>
      <c r="AU11" s="8">
        <v>643.70000000000005</v>
      </c>
      <c r="AV11" s="8">
        <v>643.70000000000005</v>
      </c>
      <c r="AW11" s="8">
        <v>0</v>
      </c>
      <c r="AX11" s="8">
        <v>4.7</v>
      </c>
      <c r="AY11" s="6">
        <f t="shared" si="19"/>
        <v>6.5277777777777782E-3</v>
      </c>
      <c r="AZ11" s="8">
        <v>71.599999999999994</v>
      </c>
      <c r="BA11" s="6">
        <f t="shared" si="20"/>
        <v>9.9444444444444433E-2</v>
      </c>
      <c r="BB11" s="6">
        <v>0</v>
      </c>
      <c r="BC11" s="6">
        <f t="shared" si="21"/>
        <v>0</v>
      </c>
      <c r="BD11" s="8">
        <v>48</v>
      </c>
      <c r="BE11" s="69">
        <f t="shared" si="22"/>
        <v>0.89402777777777787</v>
      </c>
      <c r="BF11" s="69">
        <f t="shared" si="23"/>
        <v>0.82736111111111121</v>
      </c>
      <c r="BG11" s="149">
        <f t="shared" si="24"/>
        <v>7.567489948305571E-2</v>
      </c>
      <c r="BH11" s="149">
        <f t="shared" si="25"/>
        <v>6.6666666666666666E-2</v>
      </c>
      <c r="BI11" s="69">
        <f t="shared" si="26"/>
        <v>0.66522222222222227</v>
      </c>
      <c r="BJ11" s="6"/>
      <c r="BK11" s="6">
        <f t="shared" si="27"/>
        <v>720.00000000000011</v>
      </c>
      <c r="BL11" s="86">
        <v>47896</v>
      </c>
      <c r="BM11" s="20">
        <v>100</v>
      </c>
      <c r="BO11" s="17"/>
      <c r="BP11" s="17">
        <v>9</v>
      </c>
      <c r="BQ11" s="8">
        <v>662.8</v>
      </c>
      <c r="BR11" s="8">
        <v>662.8</v>
      </c>
      <c r="BS11" s="8">
        <v>0</v>
      </c>
      <c r="BT11" s="8">
        <v>1.4</v>
      </c>
      <c r="BU11" s="69">
        <f t="shared" si="28"/>
        <v>1.8817204301075268E-3</v>
      </c>
      <c r="BV11" s="8">
        <v>0</v>
      </c>
      <c r="BW11" s="69">
        <f t="shared" si="29"/>
        <v>0</v>
      </c>
      <c r="BX11" s="6">
        <v>79.8</v>
      </c>
      <c r="BY11" s="69">
        <f t="shared" si="30"/>
        <v>0.10725806451612903</v>
      </c>
      <c r="BZ11" s="8">
        <v>4</v>
      </c>
      <c r="CA11" s="69">
        <f t="shared" si="31"/>
        <v>0.89086021505376334</v>
      </c>
      <c r="CB11" s="69">
        <f t="shared" si="32"/>
        <v>0.88548387096774184</v>
      </c>
      <c r="CC11" s="149">
        <f t="shared" si="33"/>
        <v>8.0814127506734518E-3</v>
      </c>
      <c r="CD11" s="149">
        <f t="shared" si="34"/>
        <v>5.3763440860215058E-3</v>
      </c>
      <c r="CE11" s="69">
        <f t="shared" si="35"/>
        <v>0.69317204301075264</v>
      </c>
      <c r="CF11" s="69"/>
      <c r="CG11" s="42">
        <f t="shared" si="36"/>
        <v>743.99999999999989</v>
      </c>
      <c r="CH11" s="86">
        <v>51572</v>
      </c>
      <c r="CI11" s="20">
        <v>100</v>
      </c>
      <c r="CK11" s="17"/>
      <c r="CL11" s="17">
        <v>9</v>
      </c>
      <c r="CM11" s="8">
        <v>664</v>
      </c>
      <c r="CN11" s="8">
        <v>664</v>
      </c>
      <c r="CO11" s="8">
        <v>0</v>
      </c>
      <c r="CP11" s="8">
        <v>0.2</v>
      </c>
      <c r="CQ11" s="6">
        <f t="shared" si="37"/>
        <v>2.7777777777777778E-4</v>
      </c>
      <c r="CR11" s="8">
        <v>0</v>
      </c>
      <c r="CS11" s="6">
        <f t="shared" si="38"/>
        <v>0</v>
      </c>
      <c r="CT11" s="6">
        <v>55.8</v>
      </c>
      <c r="CU11" s="6">
        <f t="shared" si="39"/>
        <v>7.7499999999999999E-2</v>
      </c>
      <c r="CV11" s="8">
        <v>0</v>
      </c>
      <c r="CW11" s="69">
        <f t="shared" si="40"/>
        <v>0.92222222222222228</v>
      </c>
      <c r="CX11" s="69">
        <f t="shared" si="41"/>
        <v>0.92222222222222228</v>
      </c>
      <c r="CY11" s="149">
        <f t="shared" si="42"/>
        <v>3.0111412225233364E-4</v>
      </c>
      <c r="CZ11" s="149">
        <f t="shared" si="43"/>
        <v>0</v>
      </c>
      <c r="DA11" s="69">
        <f t="shared" si="44"/>
        <v>0.6732083333333333</v>
      </c>
      <c r="DB11" s="6"/>
      <c r="DC11" s="6">
        <f t="shared" si="45"/>
        <v>720</v>
      </c>
      <c r="DD11" s="86">
        <v>48471</v>
      </c>
      <c r="DE11" s="20">
        <v>100</v>
      </c>
      <c r="DG11" s="17"/>
      <c r="DH11" s="17">
        <v>9</v>
      </c>
      <c r="DI11" s="8">
        <v>0</v>
      </c>
      <c r="DJ11" s="8">
        <v>0</v>
      </c>
      <c r="DK11" s="8">
        <v>0</v>
      </c>
      <c r="DL11" s="8">
        <v>0</v>
      </c>
      <c r="DM11" s="69">
        <f t="shared" si="46"/>
        <v>0</v>
      </c>
      <c r="DN11" s="8">
        <v>0</v>
      </c>
      <c r="DO11" s="69">
        <f t="shared" si="47"/>
        <v>0</v>
      </c>
      <c r="DP11" s="6">
        <v>744</v>
      </c>
      <c r="DQ11" s="69">
        <f t="shared" si="48"/>
        <v>1</v>
      </c>
      <c r="DR11" s="8">
        <v>0</v>
      </c>
      <c r="DS11" s="69">
        <f t="shared" si="49"/>
        <v>0</v>
      </c>
      <c r="DT11" s="69">
        <f t="shared" si="50"/>
        <v>0</v>
      </c>
      <c r="DU11" s="149">
        <f t="shared" si="51"/>
        <v>0</v>
      </c>
      <c r="DV11" s="149">
        <f t="shared" si="52"/>
        <v>0</v>
      </c>
      <c r="DW11" s="69">
        <f t="shared" si="53"/>
        <v>0</v>
      </c>
      <c r="DX11" s="69"/>
      <c r="DY11" s="6">
        <f t="shared" si="54"/>
        <v>744</v>
      </c>
      <c r="DZ11" s="8">
        <v>0</v>
      </c>
      <c r="EA11" s="20">
        <v>100</v>
      </c>
      <c r="EC11" s="17"/>
      <c r="ED11" s="17">
        <v>9</v>
      </c>
      <c r="EE11" s="8">
        <v>220.9</v>
      </c>
      <c r="EF11" s="8">
        <v>220.9</v>
      </c>
      <c r="EG11" s="8">
        <v>0</v>
      </c>
      <c r="EH11" s="8">
        <v>0</v>
      </c>
      <c r="EI11" s="6">
        <f t="shared" si="55"/>
        <v>0</v>
      </c>
      <c r="EJ11" s="8">
        <v>0</v>
      </c>
      <c r="EK11" s="6">
        <f t="shared" si="56"/>
        <v>0</v>
      </c>
      <c r="EL11" s="6">
        <v>523.1</v>
      </c>
      <c r="EM11" s="6">
        <f t="shared" si="57"/>
        <v>0.7030913978494624</v>
      </c>
      <c r="EN11" s="8">
        <v>0</v>
      </c>
      <c r="EO11" s="69">
        <f t="shared" si="58"/>
        <v>0.29690860215053766</v>
      </c>
      <c r="EP11" s="69">
        <f t="shared" si="59"/>
        <v>0.29690860215053766</v>
      </c>
      <c r="EQ11" s="149">
        <f t="shared" si="60"/>
        <v>0</v>
      </c>
      <c r="ER11" s="149">
        <f t="shared" si="61"/>
        <v>0</v>
      </c>
      <c r="ES11" s="69">
        <f t="shared" si="62"/>
        <v>0.21870967741935485</v>
      </c>
      <c r="ET11" s="6"/>
      <c r="EU11" s="6">
        <f t="shared" si="63"/>
        <v>744</v>
      </c>
      <c r="EV11" s="86">
        <v>16272</v>
      </c>
      <c r="EW11" s="20">
        <v>100</v>
      </c>
      <c r="EY11" s="17"/>
      <c r="EZ11" s="17">
        <v>9</v>
      </c>
      <c r="FA11" s="8">
        <v>672</v>
      </c>
      <c r="FB11" s="8">
        <v>672</v>
      </c>
      <c r="FC11" s="8">
        <v>0</v>
      </c>
      <c r="FD11" s="8">
        <v>0</v>
      </c>
      <c r="FE11" s="6">
        <f t="shared" si="64"/>
        <v>0</v>
      </c>
      <c r="FF11" s="8">
        <v>0</v>
      </c>
      <c r="FG11" s="6">
        <f t="shared" si="65"/>
        <v>0</v>
      </c>
      <c r="FH11" s="6">
        <v>0</v>
      </c>
      <c r="FI11" s="6">
        <f t="shared" si="66"/>
        <v>0</v>
      </c>
      <c r="FJ11" s="8">
        <v>5.9</v>
      </c>
      <c r="FK11" s="69">
        <f t="shared" si="67"/>
        <v>0.90322580645161288</v>
      </c>
      <c r="FL11" s="69">
        <f t="shared" si="68"/>
        <v>0.99122023809523818</v>
      </c>
      <c r="FM11" s="149">
        <f t="shared" si="69"/>
        <v>8.7033485764862074E-3</v>
      </c>
      <c r="FN11" s="149">
        <f t="shared" si="70"/>
        <v>8.7797619047619048E-3</v>
      </c>
      <c r="FO11" s="69">
        <f t="shared" si="71"/>
        <v>0.7243601190476191</v>
      </c>
      <c r="FP11" s="6"/>
      <c r="FQ11" s="6">
        <f t="shared" si="72"/>
        <v>672</v>
      </c>
      <c r="FR11" s="86">
        <v>48677</v>
      </c>
      <c r="FS11" s="20">
        <v>100</v>
      </c>
      <c r="FU11" s="17"/>
      <c r="FV11" s="17">
        <v>9</v>
      </c>
      <c r="FW11" s="8">
        <v>744</v>
      </c>
      <c r="FX11" s="8">
        <v>744</v>
      </c>
      <c r="FY11" s="8">
        <v>0</v>
      </c>
      <c r="FZ11" s="8">
        <v>0</v>
      </c>
      <c r="GA11" s="69">
        <f t="shared" si="73"/>
        <v>0</v>
      </c>
      <c r="GB11" s="8">
        <v>0</v>
      </c>
      <c r="GC11" s="69">
        <f t="shared" si="74"/>
        <v>0</v>
      </c>
      <c r="GD11" s="6">
        <v>0</v>
      </c>
      <c r="GE11" s="69">
        <f t="shared" si="75"/>
        <v>0</v>
      </c>
      <c r="GF11" s="8">
        <v>20.399999999999999</v>
      </c>
      <c r="GG11" s="69">
        <f t="shared" si="76"/>
        <v>1</v>
      </c>
      <c r="GH11" s="69">
        <f t="shared" si="77"/>
        <v>0.97258064516129039</v>
      </c>
      <c r="GI11" s="149">
        <f t="shared" si="78"/>
        <v>2.6687598116169543E-2</v>
      </c>
      <c r="GJ11" s="149">
        <f t="shared" si="79"/>
        <v>2.7419354838709675E-2</v>
      </c>
      <c r="GK11" s="69">
        <f t="shared" si="80"/>
        <v>0.72510752688172042</v>
      </c>
      <c r="GL11" s="69"/>
      <c r="GM11" s="6">
        <f t="shared" si="81"/>
        <v>744</v>
      </c>
      <c r="GN11" s="86">
        <v>53948</v>
      </c>
      <c r="GO11" s="20">
        <v>100</v>
      </c>
      <c r="GQ11" s="17"/>
      <c r="GR11" s="17">
        <v>9</v>
      </c>
      <c r="GS11" s="8">
        <v>675.5</v>
      </c>
      <c r="GT11" s="8">
        <v>675.5</v>
      </c>
      <c r="GU11" s="8">
        <v>0</v>
      </c>
      <c r="GV11" s="8">
        <v>44.5</v>
      </c>
      <c r="GW11" s="6">
        <f t="shared" si="82"/>
        <v>6.1805555555555558E-2</v>
      </c>
      <c r="GX11" s="8">
        <v>0</v>
      </c>
      <c r="GY11" s="6">
        <f t="shared" si="83"/>
        <v>0</v>
      </c>
      <c r="GZ11" s="6">
        <v>0</v>
      </c>
      <c r="HA11" s="6">
        <f t="shared" si="84"/>
        <v>0</v>
      </c>
      <c r="HB11" s="8">
        <v>36.700000000000003</v>
      </c>
      <c r="HC11" s="69">
        <f t="shared" si="85"/>
        <v>0.90793010752688175</v>
      </c>
      <c r="HD11" s="69">
        <f t="shared" si="86"/>
        <v>0.88722222222222213</v>
      </c>
      <c r="HE11" s="149">
        <f>IF((AND(GT11=0,GV11=0)),0,(GV11+HB11)/(GT11+GV11+HB11))</f>
        <v>0.10730804810360776</v>
      </c>
      <c r="HF11" s="149">
        <f t="shared" si="88"/>
        <v>5.0972222222222224E-2</v>
      </c>
      <c r="HG11" s="69">
        <f t="shared" si="89"/>
        <v>0.67759722222222218</v>
      </c>
      <c r="HH11" s="15">
        <v>2</v>
      </c>
      <c r="HI11" s="6">
        <f t="shared" si="90"/>
        <v>720</v>
      </c>
      <c r="HJ11" s="86">
        <v>48787</v>
      </c>
      <c r="HK11" s="20">
        <v>100</v>
      </c>
      <c r="HM11" s="17"/>
      <c r="HN11" s="17">
        <v>9</v>
      </c>
      <c r="HO11" s="8">
        <v>744</v>
      </c>
      <c r="HP11" s="8">
        <v>696.3</v>
      </c>
      <c r="HQ11" s="107">
        <v>47.7</v>
      </c>
      <c r="HR11" s="8">
        <v>0</v>
      </c>
      <c r="HS11" s="6">
        <f t="shared" si="91"/>
        <v>0</v>
      </c>
      <c r="HT11" s="8">
        <v>0</v>
      </c>
      <c r="HU11" s="6">
        <f t="shared" si="92"/>
        <v>0</v>
      </c>
      <c r="HV11" s="108">
        <v>0</v>
      </c>
      <c r="HW11" s="6">
        <f t="shared" si="93"/>
        <v>0</v>
      </c>
      <c r="HX11" s="8">
        <v>0</v>
      </c>
      <c r="HY11" s="69">
        <f t="shared" si="94"/>
        <v>1</v>
      </c>
      <c r="HZ11" s="69">
        <f t="shared" si="95"/>
        <v>1</v>
      </c>
      <c r="IA11" s="149">
        <f t="shared" si="96"/>
        <v>0</v>
      </c>
      <c r="IB11" s="149">
        <f t="shared" si="97"/>
        <v>0</v>
      </c>
      <c r="IC11" s="69">
        <f t="shared" si="98"/>
        <v>0.68137096774193551</v>
      </c>
      <c r="ID11" s="15">
        <v>0</v>
      </c>
      <c r="IE11" s="6">
        <f t="shared" si="99"/>
        <v>744</v>
      </c>
      <c r="IF11" s="86">
        <v>50694</v>
      </c>
      <c r="IG11" s="20">
        <v>100</v>
      </c>
      <c r="II11" s="17"/>
      <c r="IJ11" s="17">
        <v>9</v>
      </c>
      <c r="IK11" s="109">
        <v>720</v>
      </c>
      <c r="IL11" s="109">
        <v>720</v>
      </c>
      <c r="IM11" s="109">
        <v>0</v>
      </c>
      <c r="IN11" s="109">
        <v>0</v>
      </c>
      <c r="IO11" s="69">
        <f t="shared" si="100"/>
        <v>0</v>
      </c>
      <c r="IP11" s="109">
        <v>0</v>
      </c>
      <c r="IQ11" s="69">
        <f t="shared" si="101"/>
        <v>0</v>
      </c>
      <c r="IR11" s="109">
        <v>0</v>
      </c>
      <c r="IS11" s="69">
        <f t="shared" si="102"/>
        <v>0</v>
      </c>
      <c r="IT11" s="109">
        <v>0</v>
      </c>
      <c r="IU11" s="69">
        <f t="shared" si="103"/>
        <v>1</v>
      </c>
      <c r="IV11" s="69">
        <f t="shared" si="104"/>
        <v>1</v>
      </c>
      <c r="IW11" s="149">
        <f t="shared" si="105"/>
        <v>0</v>
      </c>
      <c r="IX11" s="149">
        <f t="shared" si="106"/>
        <v>0</v>
      </c>
      <c r="IY11" s="69">
        <f t="shared" si="107"/>
        <v>0.75145833333333334</v>
      </c>
      <c r="IZ11" s="15">
        <v>0</v>
      </c>
      <c r="JA11" s="15">
        <f t="shared" si="108"/>
        <v>720</v>
      </c>
      <c r="JB11" s="110">
        <v>54105</v>
      </c>
      <c r="JC11" s="20">
        <v>100</v>
      </c>
    </row>
    <row r="12" spans="1:263" ht="15" x14ac:dyDescent="0.25">
      <c r="A12" s="17"/>
      <c r="B12" s="24" t="s">
        <v>39</v>
      </c>
      <c r="C12" s="98">
        <f>SUM(C6:C11)</f>
        <v>2298.6</v>
      </c>
      <c r="D12" s="98">
        <f t="shared" ref="D12:H12" si="109">SUM(D6:D11)</f>
        <v>2250.1</v>
      </c>
      <c r="E12" s="25">
        <f>SUM(E6:E11)</f>
        <v>48.5</v>
      </c>
      <c r="F12" s="98">
        <f t="shared" si="109"/>
        <v>2165.4</v>
      </c>
      <c r="G12" s="78">
        <f>(G6*U6+G7*U7+G8*U8+G9*U9+G10*U10+G11*U11)/U12</f>
        <v>0.33213205645161292</v>
      </c>
      <c r="H12" s="25">
        <f t="shared" si="109"/>
        <v>0</v>
      </c>
      <c r="I12" s="78">
        <f>(I6*U6+I7*U7+I8*U8+I9*U9+I10*U10+I11*U11)/U12</f>
        <v>0</v>
      </c>
      <c r="J12" s="28">
        <f>SUM(J6:J11)</f>
        <v>0</v>
      </c>
      <c r="K12" s="78">
        <f>(K6*U6+K7*U7+K8*U8+K9*U9+K10*U10+K11*U11)/U12</f>
        <v>0</v>
      </c>
      <c r="L12" s="25">
        <f>SUM(L6:L11)</f>
        <v>143</v>
      </c>
      <c r="M12" s="78">
        <f>(M6*U6+M7*U7+M8*U8+M9*U9+M10*U10+M11*U11)/U12</f>
        <v>0.66786794354838719</v>
      </c>
      <c r="N12" s="81">
        <f>(N6*U6+N7*U7+N8*U8+N9*U9+N10*U10+N11*U11)/U12</f>
        <v>0.63014952956989245</v>
      </c>
      <c r="O12" s="81">
        <f>(O6*U6+O7*U7+O8*U8+O9*U9+O10*U10+O11*U11)/U12</f>
        <v>0.3595828344760193</v>
      </c>
      <c r="P12" s="81">
        <f>(P6*$U$6+P7*$U$7+P8*$U$8+P9*$U$9+P10*$U$10+P11*$U$11)/$U$12</f>
        <v>3.7718413978494625E-2</v>
      </c>
      <c r="Q12" s="81">
        <f>(Q6*U6+Q7*U7+Q8*U8+Q9*U9+Q10*U10+Q11*U11)/U12</f>
        <v>0.52948588709677413</v>
      </c>
      <c r="R12" s="25">
        <f>SUM(R6:R11)</f>
        <v>5</v>
      </c>
      <c r="S12" s="30">
        <f>SUM(S6:S11)</f>
        <v>4464</v>
      </c>
      <c r="T12" s="102">
        <f>SUM(T6:T11)</f>
        <v>252120</v>
      </c>
      <c r="U12" s="28">
        <f>SUM(U6:U11)</f>
        <v>640</v>
      </c>
      <c r="V12" s="15"/>
      <c r="W12" s="17"/>
      <c r="X12" s="32" t="s">
        <v>39</v>
      </c>
      <c r="Y12" s="29">
        <f>SUM(Y6:Y11)</f>
        <v>2449.1999999999998</v>
      </c>
      <c r="Z12" s="29">
        <f t="shared" ref="Z12" si="110">SUM(Z6:Z11)</f>
        <v>2311.1999999999998</v>
      </c>
      <c r="AA12" s="29">
        <f>SUM(AA6:AA11)</f>
        <v>138</v>
      </c>
      <c r="AB12" s="29">
        <f t="shared" ref="AB12" si="111">SUM(AB6:AB11)</f>
        <v>2014.8000000000002</v>
      </c>
      <c r="AC12" s="79">
        <f>(AC6*AQ6+AC7*AQ7+AC8*AQ8+AC9*AQ9+AC10*AQ10+AC11*AQ11)/AQ12</f>
        <v>0.35492691532258069</v>
      </c>
      <c r="AD12" s="29">
        <f t="shared" ref="AD12:AF12" si="112">SUM(AD6:AD11)</f>
        <v>0</v>
      </c>
      <c r="AE12" s="79">
        <f>(AE6*AQ6+AE7*AQ7+AE8*AQ8+AE9*AQ9+AE10*AQ10+AE11*AQ11)/AQ12</f>
        <v>0</v>
      </c>
      <c r="AF12" s="29">
        <f t="shared" si="112"/>
        <v>0</v>
      </c>
      <c r="AG12" s="79">
        <f>(AG6*AQ6+AG7*AQ7+AG8*AQ8+AG9*AQ9+AG10*AQ10+AG11*AQ11)/AQ12</f>
        <v>0</v>
      </c>
      <c r="AH12" s="29">
        <f>SUM(AH6:AH11)</f>
        <v>16</v>
      </c>
      <c r="AI12" s="78">
        <f>(AI6*AQ6+AI7*AQ7+AI8*AQ8+AI9*AQ9+AI10*AQ10+AI11*AQ11)/AQ12</f>
        <v>0.64507308467741931</v>
      </c>
      <c r="AJ12" s="79">
        <f>(AJ6*AQ6+AJ7*AQ7+AJ8*AQ8+AJ9*AQ9+AJ10*AQ10+AJ11*AQ11)/AQ12</f>
        <v>0.64171286962365592</v>
      </c>
      <c r="AK12" s="81">
        <f>(AK6*AQ6+AK7*AQ7+AK8*AQ8+AK9*AQ9+AK10*AQ10+AK11*AQ11)/AQ12</f>
        <v>0.3916044637278881</v>
      </c>
      <c r="AL12" s="81">
        <f>(AL6*AQ6+AL7*AQ7+AL8*AQ8+AL9*AQ9+AL10*AQ10+AL11*AQ11)/AQ12</f>
        <v>3.3602150537634413E-3</v>
      </c>
      <c r="AM12" s="81">
        <f>(AM6*AQ6+AM7*AQ7+AM8*AQ8+AM9*AQ9+AM10*AQ10+AM11*AQ11)/AQ12</f>
        <v>0.46527217741935478</v>
      </c>
      <c r="AN12" s="29">
        <f>SUM(AN6:AN11)</f>
        <v>16</v>
      </c>
      <c r="AO12" s="30">
        <f>SUM(AO6:AO11)</f>
        <v>4464</v>
      </c>
      <c r="AP12" s="102">
        <f>SUM(AP6:AP11)</f>
        <v>221544</v>
      </c>
      <c r="AQ12" s="31">
        <f>SUM(AQ6:AQ11)</f>
        <v>640</v>
      </c>
      <c r="AR12" s="15"/>
      <c r="AS12" s="17"/>
      <c r="AT12" s="24" t="s">
        <v>39</v>
      </c>
      <c r="AU12" s="47">
        <f>SUM(AU6:AU11)</f>
        <v>2735.8</v>
      </c>
      <c r="AV12" s="47">
        <f t="shared" ref="AV12:AX12" si="113">SUM(AV6:AV11)</f>
        <v>2735.8</v>
      </c>
      <c r="AW12" s="29">
        <f t="shared" si="113"/>
        <v>0</v>
      </c>
      <c r="AX12" s="47">
        <f t="shared" si="113"/>
        <v>1512.6000000000001</v>
      </c>
      <c r="AY12" s="79">
        <f>(AY6*BM6+AY7*BM7+AY8*BM8+AY9*BM9+AY10*BM10+AY11*BM11)/BM12</f>
        <v>0.35387152777777775</v>
      </c>
      <c r="AZ12" s="29">
        <f t="shared" ref="AZ12" si="114">SUM(AZ6:AZ11)</f>
        <v>71.599999999999994</v>
      </c>
      <c r="BA12" s="79">
        <f>(BA6*BM6+BA7*BM7+BA8*BM8+BA9*BM9+BA10*BM10+BA11*BM11)/BM12</f>
        <v>1.5538194444444441E-2</v>
      </c>
      <c r="BB12" s="30">
        <f>SUM(BB6:BB11)</f>
        <v>0</v>
      </c>
      <c r="BC12" s="79">
        <f>(BC6*BM6+BC7*BM7+BC8*BM8+BC9*BM9+BC10*BM10+BC11*BM11)/BM12</f>
        <v>0</v>
      </c>
      <c r="BD12" s="29">
        <f>SUM(BD6:BD11)</f>
        <v>80</v>
      </c>
      <c r="BE12" s="78">
        <f>(BE6*BM6+BE7*BM7+BE8*BM8+BE9*BM9+BE10*BM10+BE11*BM11)/BM12</f>
        <v>0.63059027777777776</v>
      </c>
      <c r="BF12" s="79">
        <f>(BF6*BM6+BF7*BM7+BF8*BM8+BF9*BM9+BF10*BM10+BF11*BM11)/BM12</f>
        <v>0.61322916666666671</v>
      </c>
      <c r="BG12" s="81">
        <f>(BG6*BM6+BG7*BM7+BG8*BM8+BG9*BM9+BG10*BM10+BG11*BM11)/BM12</f>
        <v>0.37129699781373099</v>
      </c>
      <c r="BH12" s="81">
        <f>(BH6*BM6+BH7*BM7+BH8*BM8+BH9*BM9+BH10*BM10+BH11*BM11)/BM12</f>
        <v>1.7361111111111112E-2</v>
      </c>
      <c r="BI12" s="81">
        <f>(BI6*BM6+BI7*BM7+BI8*BM8+BI9*BM9+BI10*BM10+BI11*BM11)/BM12</f>
        <v>0.50960937499999992</v>
      </c>
      <c r="BJ12" s="149"/>
      <c r="BK12" s="30">
        <f>SUM(BK6:BK11)</f>
        <v>4320</v>
      </c>
      <c r="BL12" s="89">
        <f>SUM(BL6:BL11)</f>
        <v>234828</v>
      </c>
      <c r="BM12" s="31">
        <f>SUM(BM6:BM11)</f>
        <v>640</v>
      </c>
      <c r="BN12" s="15"/>
      <c r="BO12" s="17"/>
      <c r="BP12" s="24" t="s">
        <v>39</v>
      </c>
      <c r="BQ12" s="29">
        <f>SUM(BQ6:BQ11)</f>
        <v>1959.8000000000002</v>
      </c>
      <c r="BR12" s="29">
        <f t="shared" ref="BR12:BT12" si="115">SUM(BR6:BR11)</f>
        <v>1959.8000000000002</v>
      </c>
      <c r="BS12" s="29">
        <f>SUM(BS6:BS11)</f>
        <v>0</v>
      </c>
      <c r="BT12" s="29">
        <f t="shared" si="115"/>
        <v>2232.4</v>
      </c>
      <c r="BU12" s="79">
        <f>(BU6*CI6+BU7*CI7+BU8*CI8+BU9*CI9+BU10*CI10+BU11*CI11)/CI12</f>
        <v>0.49874411962365589</v>
      </c>
      <c r="BV12" s="29">
        <f t="shared" ref="BV12" si="116">SUM(BV6:BV11)</f>
        <v>146.19999999999999</v>
      </c>
      <c r="BW12" s="79">
        <f>(BW6*CI6+BW7*CI7+BW8*CI8+BW9*CI9+BW10*CI10+BW11*CI11)/CI12</f>
        <v>1.8422379032258067E-2</v>
      </c>
      <c r="BX12" s="30">
        <f>SUM(BX6:BX11)</f>
        <v>125.6</v>
      </c>
      <c r="BY12" s="79">
        <f>(BY6*CI6+BY7*CI7+BY8*CI8+BY9*CI9+BY10*CI10+BY11*CI11)/CI12</f>
        <v>3.2148857526881715E-2</v>
      </c>
      <c r="BZ12" s="29">
        <f>SUM(BZ6:BZ11)</f>
        <v>109</v>
      </c>
      <c r="CA12" s="78">
        <f>(CA6*CI6+CA7*CI7+CA8*CI8+CA9*CI9+CA10*CI10+CA11*CI11)/CI12</f>
        <v>0.4506846438172043</v>
      </c>
      <c r="CB12" s="79">
        <f>(CB6*CI6+CB7*CI7+CB8*CI8+CB9*CI9+CB10*CI10+CB11*CI11)/CI12</f>
        <v>0.42800319220430111</v>
      </c>
      <c r="CC12" s="81">
        <f>(CC6*CI6+CC7*CI7+CC8*CI8+CC9*CI9+CC10*CI10+CC11*CI11)/CI12</f>
        <v>0.52302583937105496</v>
      </c>
      <c r="CD12" s="81">
        <f>(CD6*CI6+CD7*CI7+CD8*CI8+CD9*CI9+CD10*CI10+CD11*CI11)/CI12</f>
        <v>2.2681451612903226E-2</v>
      </c>
      <c r="CE12" s="81">
        <f>(CE6*CI6+CE7*CI7+CE8*CI8+CE9*CI9+CE10*CI10+CE11*CI11)/CI12</f>
        <v>0.35633400537634408</v>
      </c>
      <c r="CF12" s="149"/>
      <c r="CG12" s="33">
        <f>SUM(CG6:CG11)</f>
        <v>4464</v>
      </c>
      <c r="CH12" s="89">
        <f>SUM(CH6:CH11)</f>
        <v>169672</v>
      </c>
      <c r="CI12" s="31">
        <f>SUM(CI6:CI11)</f>
        <v>640</v>
      </c>
      <c r="CJ12" s="15"/>
      <c r="CK12" s="17"/>
      <c r="CL12" s="24" t="s">
        <v>39</v>
      </c>
      <c r="CM12" s="29">
        <f>SUM(CM6:CM11)</f>
        <v>1727</v>
      </c>
      <c r="CN12" s="29">
        <f t="shared" ref="CN12:CP12" si="117">SUM(CN6:CN11)</f>
        <v>1727</v>
      </c>
      <c r="CO12" s="29">
        <f>SUM(CO6:CO11)</f>
        <v>0</v>
      </c>
      <c r="CP12" s="29">
        <f t="shared" si="117"/>
        <v>402.8</v>
      </c>
      <c r="CQ12" s="79">
        <f>(CQ6*DE6+CQ7*DE7+CQ8*DE8+CQ9*DE9+CQ10*DE10+CQ11*DE11)/DE12</f>
        <v>8.4388020833333327E-2</v>
      </c>
      <c r="CR12" s="29">
        <f t="shared" ref="CR12" si="118">SUM(CR6:CR11)</f>
        <v>1622</v>
      </c>
      <c r="CS12" s="79">
        <f>(CS6*DE6+CS7*DE7+CS8*DE8+CS9*DE9+CS10*DE10+CS11*DE11)/DE12</f>
        <v>0.36744791666666665</v>
      </c>
      <c r="CT12" s="30">
        <f>SUM(CT6:CT11)</f>
        <v>568.19999999999993</v>
      </c>
      <c r="CU12" s="79">
        <f>(CU6*DE6+CU7*DE7+CU8*DE8+CU9*DE9+CU10*DE10+CU11*DE11)/DE12</f>
        <v>0.12832899305555556</v>
      </c>
      <c r="CV12" s="29">
        <f>SUM(CV6:CV11)</f>
        <v>0</v>
      </c>
      <c r="CW12" s="78">
        <f>(CW6*DE6+CW7*DE7+CW8*DE8+CW9*DE9+CW10*DE10+CW11*DE11)/DE12</f>
        <v>0.41983506944444449</v>
      </c>
      <c r="CX12" s="79">
        <f>(CX6*DE6+CX7*DE7+CX8*DE8+CX9*DE9+CX10*DE10+CX11*DE11)/DE12</f>
        <v>0.41983506944444449</v>
      </c>
      <c r="CY12" s="81">
        <f>(CY6*DE6+CY7*DE7+CY8*DE8+CY9*DE9+CY10*DE10+CY11*DE11)/DE12</f>
        <v>0.16539981588329616</v>
      </c>
      <c r="CZ12" s="81">
        <f>(CZ6*DE6+CZ7*DE7+CZ8*DE8+CZ9*DE9+CZ10*DE10+CZ11*DE11)/DE12</f>
        <v>0</v>
      </c>
      <c r="DA12" s="81">
        <f>(DA6*DE6+DA7*DE7+DA8*DE8+DA9*DE9+DA10*DE10+DA11*DE11)/DE12</f>
        <v>0.32847439236111109</v>
      </c>
      <c r="DB12" s="149"/>
      <c r="DC12" s="30">
        <f>SUM(DC6:DC11)</f>
        <v>4320</v>
      </c>
      <c r="DD12" s="89">
        <f>SUM(DD6:DD11)</f>
        <v>151361</v>
      </c>
      <c r="DE12" s="31">
        <f>SUM(DE6:DE11)</f>
        <v>640</v>
      </c>
      <c r="DF12" s="15"/>
      <c r="DG12" s="17"/>
      <c r="DH12" s="24" t="s">
        <v>39</v>
      </c>
      <c r="DI12" s="29">
        <f>SUM(DI6:DI11)</f>
        <v>1432</v>
      </c>
      <c r="DJ12" s="29">
        <f t="shared" ref="DJ12:DL12" si="119">SUM(DJ6:DJ11)</f>
        <v>1432</v>
      </c>
      <c r="DK12" s="29">
        <f>SUM(DK6:DK11)</f>
        <v>0</v>
      </c>
      <c r="DL12" s="29">
        <f t="shared" si="119"/>
        <v>56</v>
      </c>
      <c r="DM12" s="79">
        <f>(DM6*EA6+DM7*EA7+DM8*EA8+DM9*EA9+DM10*EA10+DM11*EA11)/EA12</f>
        <v>1.0626680107526883E-2</v>
      </c>
      <c r="DN12" s="29">
        <f t="shared" ref="DN12" si="120">SUM(DN6:DN11)</f>
        <v>2232</v>
      </c>
      <c r="DO12" s="79">
        <f>(DO6*EA6+DO7*EA7+DO8*EA8+DO9*EA9+DO10*EA10+DO11*EA11)/EA12</f>
        <v>0.5</v>
      </c>
      <c r="DP12" s="30">
        <f>SUM(DP6:DP11)</f>
        <v>744</v>
      </c>
      <c r="DQ12" s="79">
        <f>(DQ6*EA6+DQ7*EA7+DQ8*EA8+DQ9*EA9+DQ10*EA10+DQ11*EA11)/EA12</f>
        <v>0.15625</v>
      </c>
      <c r="DR12" s="29">
        <f>SUM(DR6:DR11)</f>
        <v>0</v>
      </c>
      <c r="DS12" s="78">
        <f>(DS6*EA6+DS7*EA7+DS8*EA8+DS9*EA9+DS10*EA10+DS11*EA11)/EA12</f>
        <v>0.33312331989247312</v>
      </c>
      <c r="DT12" s="79">
        <f>(DT6*EA6+DT7*EA7+DT8*EA8+DT9*EA9+DT10*EA10+DT11*EA11)/EA12</f>
        <v>0.33312331989247312</v>
      </c>
      <c r="DU12" s="81">
        <f>(DU6*EA6+DU7*EA7+DU8*EA8+DU9*EA9+DU10*EA10+DU11*EA11)/EA12</f>
        <v>1.0626680107526883E-2</v>
      </c>
      <c r="DV12" s="81">
        <f>(DV6*EA6+DV7*EA7+DV8*EA8+DV9*EA9+DV10*EA10+DV11*EA11)/EA12</f>
        <v>0</v>
      </c>
      <c r="DW12" s="81">
        <f>(DW6*EA6+DW7*EA7+DW8*EA8+DW9*EA9+DW10*EA10+DW11*EA11)/EA12</f>
        <v>0.27429225470430108</v>
      </c>
      <c r="DX12" s="149"/>
      <c r="DY12" s="30">
        <f>SUM(DY6:DY11)</f>
        <v>4464</v>
      </c>
      <c r="DZ12" s="33">
        <f>SUM(DZ6:DZ11)</f>
        <v>130607</v>
      </c>
      <c r="EA12" s="31">
        <f>SUM(EA6:EA11)</f>
        <v>640</v>
      </c>
      <c r="EB12" s="15"/>
      <c r="EC12" s="17"/>
      <c r="ED12" s="32" t="s">
        <v>39</v>
      </c>
      <c r="EE12" s="29">
        <f>SUM(EE6:EE11)</f>
        <v>1477.6000000000001</v>
      </c>
      <c r="EF12" s="29">
        <f t="shared" ref="EF12:EH12" si="121">SUM(EF6:EF11)</f>
        <v>1465.6000000000001</v>
      </c>
      <c r="EG12" s="29">
        <f>SUM(EG6:EG11)</f>
        <v>12</v>
      </c>
      <c r="EH12" s="29">
        <f t="shared" si="121"/>
        <v>193.8</v>
      </c>
      <c r="EI12" s="79">
        <f>(EI6*EW6+EI7*EW7+EI8*EW8+EI9*EW9+EI10*EW10+EI11*EW11)/EW12</f>
        <v>2.9250672043010757E-2</v>
      </c>
      <c r="EJ12" s="29">
        <f t="shared" ref="EJ12" si="122">SUM(EJ6:EJ11)</f>
        <v>2232</v>
      </c>
      <c r="EK12" s="79">
        <f>(EK6*EW6+EK7*EW7+EK8*EW8+EK9*EW9+EK10*EW10+EK11*EW11)/EW12</f>
        <v>0.5</v>
      </c>
      <c r="EL12" s="30">
        <f>SUM(EL6:EL11)</f>
        <v>560.6</v>
      </c>
      <c r="EM12" s="79">
        <f>(EM6*EW6+EM7*EW7+EM8*EW8+EM9*EW9+EM10*EW10+EM11*EW11)/EW12</f>
        <v>0.11821656586021505</v>
      </c>
      <c r="EN12" s="29">
        <f>SUM(EN6:EN11)</f>
        <v>115.49000000000001</v>
      </c>
      <c r="EO12" s="78">
        <f>(EO6*EW6+EO7*EW7+EO8*EW8+EO9*EW9+EO10*EW10+EO11*EW11)/EW12</f>
        <v>0.3525327620967742</v>
      </c>
      <c r="EP12" s="79">
        <f>(EP6*EW6+EP7*EW7+EP8*EW8+EP9*EW9+EP10*EW10+EP11*EW11)/EW12</f>
        <v>0.33444346438172046</v>
      </c>
      <c r="EQ12" s="81">
        <f>(EQ6*EW6+EQ7*EW7+EQ8*EW8+EQ9*EW9+EQ10*EW10+EQ11*EW11)/EW12</f>
        <v>4.4491737514770882E-2</v>
      </c>
      <c r="ER12" s="81"/>
      <c r="ES12" s="81">
        <f>(ES6*EW6+ES7*EW7+ES8*EW8+ES9*EW9+ES10*EW10+ES11*EW11)/EW12</f>
        <v>0.27232442876344087</v>
      </c>
      <c r="ET12" s="149"/>
      <c r="EU12" s="30">
        <f>SUM(EU6:EU11)</f>
        <v>4464</v>
      </c>
      <c r="EV12" s="89">
        <f>SUM(EV6:EV11)</f>
        <v>129670</v>
      </c>
      <c r="EW12" s="31">
        <f>SUM(EW6:EW11)</f>
        <v>640</v>
      </c>
      <c r="EX12" s="15"/>
      <c r="EY12" s="17"/>
      <c r="EZ12" s="24" t="s">
        <v>39</v>
      </c>
      <c r="FA12" s="29">
        <f>SUM(FA6:FA11)</f>
        <v>1824.4</v>
      </c>
      <c r="FB12" s="29">
        <f t="shared" ref="FB12:FD12" si="123">SUM(FB6:FB11)</f>
        <v>1824.4</v>
      </c>
      <c r="FC12" s="29">
        <f>SUM(FC6:FC11)</f>
        <v>0</v>
      </c>
      <c r="FD12" s="29">
        <f t="shared" si="123"/>
        <v>191.6</v>
      </c>
      <c r="FE12" s="79">
        <f>(FE6*FS6+FE7*FS7+FE8*FS8+FE9*FS9+FE10*FS10+FE11*FS11)/FS12</f>
        <v>4.0797061011904764E-2</v>
      </c>
      <c r="FF12" s="29">
        <f t="shared" ref="FF12" si="124">SUM(FF6:FF11)</f>
        <v>2016</v>
      </c>
      <c r="FG12" s="79">
        <f>(FG6*FS6+FG7*FS7+FG8*FS8+FG9*FS9+FG10*FS10+FG11*FS11)/FS12</f>
        <v>0.5</v>
      </c>
      <c r="FH12" s="30">
        <f>SUM(FH6:FH11)</f>
        <v>0</v>
      </c>
      <c r="FI12" s="79">
        <f>(FI6*FS6+FI7*FS7+FI8*FS8+FI9*FS9+FI10*FS10+FI11*FS11)/FS12</f>
        <v>0</v>
      </c>
      <c r="FJ12" s="29">
        <f>SUM(FJ6:FJ11)</f>
        <v>7.1000000000000005</v>
      </c>
      <c r="FK12" s="78">
        <f>(FK6*FS6+FK7*FS7+FK8*FS8+FK9*FS9+FK10*FS10+FK11*FS11)/FS12</f>
        <v>0.41476394489247309</v>
      </c>
      <c r="FL12" s="79">
        <f>(FL6*FS6+FL7*FS7+FL8*FS8+FL9*FS9+FL10*FS10+FL11*FS11)/FS12</f>
        <v>0.45752418154761898</v>
      </c>
      <c r="FM12" s="81">
        <f>(FM6*FS6+FM7*FS7+FM8*FS8+FM9*FS9+FM10*FS10+FM11*FS11)/FS12</f>
        <v>4.2427211625721231E-2</v>
      </c>
      <c r="FN12" s="81">
        <f>(FN6*FS6+FN7*FS7+FN8*FS8+FN9*FS9+FN10*FS10+FN11*FS11)/FS12</f>
        <v>1.6787574404761904E-3</v>
      </c>
      <c r="FO12" s="81">
        <f>(FO6*FS6+FO7*FS7+FO8*FS8+FO9*FS9+FO10*FS10+FO11*FS11)/FS12</f>
        <v>0.35000465029761907</v>
      </c>
      <c r="FP12" s="149"/>
      <c r="FQ12" s="30">
        <f>SUM(FQ6:FQ11)</f>
        <v>4032</v>
      </c>
      <c r="FR12" s="89">
        <f>SUM(FR6:FR11)</f>
        <v>150530</v>
      </c>
      <c r="FS12" s="31">
        <f>SUM(FS6:FS11)</f>
        <v>640</v>
      </c>
      <c r="FT12" s="15"/>
      <c r="FU12" s="17"/>
      <c r="FV12" s="24" t="s">
        <v>39</v>
      </c>
      <c r="FW12" s="47">
        <f>SUM(FW6:FW11)</f>
        <v>2168.3000000000002</v>
      </c>
      <c r="FX12" s="47">
        <f t="shared" ref="FX12:FZ12" si="125">SUM(FX6:FX11)</f>
        <v>2168.3000000000002</v>
      </c>
      <c r="FY12" s="29">
        <f>SUM(FY6:FY11)</f>
        <v>0</v>
      </c>
      <c r="FZ12" s="29">
        <f t="shared" si="125"/>
        <v>63.699999999999996</v>
      </c>
      <c r="GA12" s="79">
        <f>(GA6*GO6+GA7*GO7+GA8*GO8+GA9*GO9+GA10*GO10+GA11*GO11)/GO12</f>
        <v>1.2310987903225806E-2</v>
      </c>
      <c r="GB12" s="29">
        <f t="shared" ref="GB12" si="126">SUM(GB6:GB11)</f>
        <v>2232</v>
      </c>
      <c r="GC12" s="79">
        <f>(GC6*GO6+GC7*GO7+GC8*GO8+GC9*GO9+GC10*GO10+GC11*GO11)/GO12</f>
        <v>0.5</v>
      </c>
      <c r="GD12" s="30">
        <f>SUM(GD6:GD11)</f>
        <v>0</v>
      </c>
      <c r="GE12" s="79">
        <f>(GE6*GO6+GE7*GO7+GE8*GO8+GE9*GO9+GE10*GO10+GE11*GO11)/GO12</f>
        <v>0</v>
      </c>
      <c r="GF12" s="29">
        <f>SUM(GF6:GF11)</f>
        <v>33.4</v>
      </c>
      <c r="GG12" s="78">
        <f>(GG6*GO6+GG7*GO7+GG8*GO8+GG9*GO9+GG10*GO10+GG11*GO11)/GO12</f>
        <v>0.48768901209677418</v>
      </c>
      <c r="GH12" s="79">
        <f>(GH6*GO6+GH7*GO7+GH8*GO8+GH9*GO9+GH10*GO10+GH11*GO11)/GO12</f>
        <v>0.48040154569892468</v>
      </c>
      <c r="GI12" s="81">
        <f>(GI6*GO6+GI7*GO7+GI8*GO8+GI9*GO9+GI10*GO10+GI11*GO11)/GO12</f>
        <v>1.9351482841893995E-2</v>
      </c>
      <c r="GJ12" s="81">
        <f>(GJ6*$GO$6+GJ7*$GO$7+GJ8*$GO$8+GJ9*$GO$9+GJ10*$GO$10+GJ11*$GO$11)/$GO$12</f>
        <v>7.2874663978494628E-3</v>
      </c>
      <c r="GK12" s="81">
        <f>(GK6*GO6+GK7*GO7+GK8*GO8+GK9*GO9+GK10*GO10+GK11*GO11)/GO12</f>
        <v>0.38139700940860211</v>
      </c>
      <c r="GL12" s="149"/>
      <c r="GM12" s="30">
        <f>SUM(GM6:GM11)</f>
        <v>4464</v>
      </c>
      <c r="GN12" s="102">
        <f>SUM(GN6:GN11)</f>
        <v>181606</v>
      </c>
      <c r="GO12" s="31">
        <f>SUM(GO6:GO11)</f>
        <v>640</v>
      </c>
      <c r="GP12" s="15"/>
      <c r="GQ12" s="17"/>
      <c r="GR12" s="24" t="s">
        <v>39</v>
      </c>
      <c r="GS12" s="29">
        <f>SUM(GS6:GS11)</f>
        <v>2087.9</v>
      </c>
      <c r="GT12" s="29">
        <f t="shared" ref="GT12:GV12" si="127">SUM(GT6:GT11)</f>
        <v>2087.9</v>
      </c>
      <c r="GU12" s="29">
        <f>SUM(GU6:GU11)</f>
        <v>0</v>
      </c>
      <c r="GV12" s="29">
        <f t="shared" si="127"/>
        <v>72.099999999999994</v>
      </c>
      <c r="GW12" s="79">
        <f>(GW6*HK6+GW7*HK7+GW8*HK8+GW9*HK9+GW10*HK10+GW11*HK11)/HK12</f>
        <v>1.5225694444444443E-2</v>
      </c>
      <c r="GX12" s="29">
        <f t="shared" ref="GX12" si="128">SUM(GX6:GX11)</f>
        <v>2160</v>
      </c>
      <c r="GY12" s="79">
        <f>(GY6*HK6+GY7*HK7+GY8*HK8+GY9*HK9+GY10*HK10+GY11*HK11)/HK12</f>
        <v>0.5</v>
      </c>
      <c r="GZ12" s="30">
        <f>SUM(GZ6:GZ11)</f>
        <v>0</v>
      </c>
      <c r="HA12" s="79">
        <f>(HA6*HK6+HA7*HK7+HA8*HK8+HA9*HK9+HA10*HK10+HA11*HK11)/HK12</f>
        <v>0</v>
      </c>
      <c r="HB12" s="29">
        <f>SUM(HB6:HB11)</f>
        <v>147.19999999999999</v>
      </c>
      <c r="HC12" s="78">
        <f>(HC6*HK6+HC7*HK7+HC8*HK8+HC9*HK9+HC10*HK10+HC11*HK11)/HK12</f>
        <v>0.46913642473118278</v>
      </c>
      <c r="HD12" s="79">
        <f>(HD6*HK6+HD7*HK7+HD8*HK8+HD9*HK9+HD10*HK10+HD11*HK11)/HK12</f>
        <v>0.45070312499999998</v>
      </c>
      <c r="HE12" s="81">
        <f>(HE6*HK6+HE7*HK7+HE8*HK8+HE9*HK9+HE10*HK10+HE11*HK11)/HK12</f>
        <v>4.6203074199868382E-2</v>
      </c>
      <c r="HF12" s="79">
        <f>(HF6*HK6+HF7*HK7+HF8*HK8+HF9*HK9+HF10*HK10+HF11*HK11)/HK12</f>
        <v>3.4071180555555552E-2</v>
      </c>
      <c r="HG12" s="81">
        <f>(HG6*HK6+HG7*HK7+HG8*HK8+HG9*HK9+HG10*HK10+HG11*HK11)/HK12</f>
        <v>0.38019748263888886</v>
      </c>
      <c r="HH12" s="29">
        <f>SUM(HH6:HH11)</f>
        <v>7</v>
      </c>
      <c r="HI12" s="30">
        <f>SUM(HI6:HI11)</f>
        <v>4320</v>
      </c>
      <c r="HJ12" s="89">
        <f>SUM(HJ6:HJ11)</f>
        <v>175195</v>
      </c>
      <c r="HK12" s="31">
        <f>SUM(HK6:HK11)</f>
        <v>640</v>
      </c>
      <c r="HL12" s="15"/>
      <c r="HM12" s="17"/>
      <c r="HN12" s="24" t="s">
        <v>39</v>
      </c>
      <c r="HO12" s="29">
        <f>SUM(HO6:HO11)</f>
        <v>2308.4</v>
      </c>
      <c r="HP12" s="29">
        <f t="shared" ref="HP12:HR12" si="129">SUM(HP6:HP11)</f>
        <v>2215.8999999999996</v>
      </c>
      <c r="HQ12" s="29">
        <f>SUM(HQ6:HQ11)</f>
        <v>92.5</v>
      </c>
      <c r="HR12" s="29">
        <f t="shared" si="129"/>
        <v>286.2</v>
      </c>
      <c r="HS12" s="79">
        <f>(HS6*IG6+HS7*IG7+HS8*IG8+HS9*IG9+HS10*IG10+HS11*IG11)/IG12</f>
        <v>8.5878696236559138E-2</v>
      </c>
      <c r="HT12" s="29">
        <f t="shared" ref="HT12" si="130">SUM(HT6:HT11)</f>
        <v>1679.8</v>
      </c>
      <c r="HU12" s="79">
        <f>(HU6*IG6+HU7*IG7+HU8*IG8+HU9*IG9+HU10*IG10+HU11*IG11)/IG12</f>
        <v>0.3144489247311828</v>
      </c>
      <c r="HV12" s="30">
        <f>SUM(HV6:HV11)</f>
        <v>189.6</v>
      </c>
      <c r="HW12" s="79">
        <f>(HW6*IG6+HW7*IG7+HW8*IG8+HW9*IG9+HW10*IG10+HW11*IG11)/IG12</f>
        <v>4.7307627688172052E-2</v>
      </c>
      <c r="HX12" s="29">
        <f>SUM(HX6:HX11)</f>
        <v>0</v>
      </c>
      <c r="HY12" s="78">
        <f>(HY6*IG6+HY7*IG7+HY8*IG8+HY9*IG9+HY10*IG10+HY11*IG11)/IG12</f>
        <v>0.55236475134408602</v>
      </c>
      <c r="HZ12" s="79">
        <f>(HZ6*IG6+HZ7*IG7+HZ8*IG8+HZ9*IG9+HZ10*IG10+HZ11*IG11)/IG12</f>
        <v>0.55236475134408602</v>
      </c>
      <c r="IA12" s="81">
        <f>(IA6*IG6+IA7*IG7+IA8*IG8+IA9*IG9+IA10*IG10+IA11*IG11)/IG12</f>
        <v>0.12591336481767143</v>
      </c>
      <c r="IB12" s="79">
        <f>(IB6*IG6+IB7*IG7+IB8*IG8+IB9*IG9+IB10*IG10+IB11*IG11)/IG12</f>
        <v>0</v>
      </c>
      <c r="IC12" s="81">
        <f>(IC6*IG6+IC7*IG7+IC8*IG8+IC9*IG9+IC10*IG10+IC11*IG11)/IG12</f>
        <v>0.42230972782258058</v>
      </c>
      <c r="ID12" s="29">
        <f>SUM(ID6:ID11)</f>
        <v>7</v>
      </c>
      <c r="IE12" s="30">
        <f>SUM(IE6:IE11)</f>
        <v>4464</v>
      </c>
      <c r="IF12" s="89">
        <f>SUM(IF6:IF11)</f>
        <v>201087</v>
      </c>
      <c r="IG12" s="31">
        <f>SUM(IG6:IG11)</f>
        <v>640</v>
      </c>
      <c r="IH12" s="15"/>
      <c r="II12" s="17"/>
      <c r="IJ12" s="87" t="s">
        <v>84</v>
      </c>
      <c r="IK12" s="29">
        <f>SUM(IK6:IK11)</f>
        <v>2814.3999999999996</v>
      </c>
      <c r="IL12" s="29">
        <f t="shared" ref="IL12:IT12" si="131">SUM(IL6:IL11)</f>
        <v>2814.3999999999996</v>
      </c>
      <c r="IM12" s="29">
        <f t="shared" si="131"/>
        <v>0</v>
      </c>
      <c r="IN12" s="29">
        <f t="shared" si="131"/>
        <v>12.6</v>
      </c>
      <c r="IO12" s="79">
        <f>(IO6*JC6+IO7*JC7+IO8*JC8+IO9*JC9+IO10*JC10+IO11*JC11)/JC12</f>
        <v>2.1614583333333334E-3</v>
      </c>
      <c r="IP12" s="29">
        <f t="shared" si="131"/>
        <v>1440</v>
      </c>
      <c r="IQ12" s="79">
        <f>(IQ6*JC6+IQ7*JC7+IQ8*JC8+IQ9*JC9+IQ10*JC10+IQ11*JC11)/JC12</f>
        <v>0.25</v>
      </c>
      <c r="IR12" s="29">
        <f t="shared" si="131"/>
        <v>53</v>
      </c>
      <c r="IS12" s="79">
        <f>(IS6*JC6+IS7*JC7+IS8*JC8+IS9*JC9+IS10*JC10+IS11*JC11)/JC12</f>
        <v>1.384548611111111E-2</v>
      </c>
      <c r="IT12" s="29">
        <f t="shared" si="131"/>
        <v>0</v>
      </c>
      <c r="IU12" s="79">
        <f>(IU6*JC6+IU7*JC7+IU8*JC8+IU9*JC9+IU10*JC10+IU11*JC11)/JC12</f>
        <v>0.7339930555555555</v>
      </c>
      <c r="IV12" s="79">
        <f>(IV6*JC6+IV7*JC7+IV8*JC8+IV9*JC9+IV10*JC10+IV11*JC11)/JC12</f>
        <v>0.7339930555555555</v>
      </c>
      <c r="IW12" s="80">
        <f>(IW6*JC6+IW7*JC7+IW8*JC8+IW9*JC9+IW10*JC10+IW11*JC11)/JC12</f>
        <v>2.2205406700840438E-3</v>
      </c>
      <c r="IX12" s="79">
        <f>(IX6*JC6+IX7*JC7+IX8*JC8+IX9*JC9+IX10*JC10+IX11*JC11)/JC12</f>
        <v>0</v>
      </c>
      <c r="IY12" s="80">
        <f>(IY6*JC6+IY7*JC7+IY8*JC8+IY9*JC9+IY10*JC10+IY11*JC11)/JC12</f>
        <v>0.59744140624999997</v>
      </c>
      <c r="IZ12" s="29">
        <f t="shared" ref="IZ12" si="132">SUM(IZ6:IZ11)</f>
        <v>2</v>
      </c>
      <c r="JA12" s="31">
        <f>SUM(JA6:JA11)</f>
        <v>4320</v>
      </c>
      <c r="JB12" s="111">
        <f>SUM(JB6:JB11)</f>
        <v>275301</v>
      </c>
      <c r="JC12" s="31">
        <f>SUM(JC6:JC11)</f>
        <v>640</v>
      </c>
    </row>
    <row r="13" spans="1:263" ht="15" x14ac:dyDescent="0.25">
      <c r="A13" s="16" t="s">
        <v>40</v>
      </c>
      <c r="B13" s="17">
        <v>3</v>
      </c>
      <c r="C13" s="8">
        <v>166.75</v>
      </c>
      <c r="D13" s="8">
        <v>166.75</v>
      </c>
      <c r="E13" s="8">
        <v>0</v>
      </c>
      <c r="F13" s="8">
        <v>152</v>
      </c>
      <c r="G13" s="6">
        <f>(F13/$B$4)</f>
        <v>0.20430107526881722</v>
      </c>
      <c r="H13" s="8">
        <v>0</v>
      </c>
      <c r="I13" s="6">
        <f>(H13/$B$4)</f>
        <v>0</v>
      </c>
      <c r="J13" s="6">
        <v>425.25</v>
      </c>
      <c r="K13" s="6">
        <f>(J13/$B$4)</f>
        <v>0.57157258064516125</v>
      </c>
      <c r="L13" s="8">
        <v>65</v>
      </c>
      <c r="M13" s="69">
        <f>(C13/$B$4)</f>
        <v>0.2241263440860215</v>
      </c>
      <c r="N13" s="69">
        <f>((C13-L13)/$B$4)</f>
        <v>0.13676075268817203</v>
      </c>
      <c r="O13" s="149">
        <f>IF((AND(D13=0,F13=0)),0,(F13+L13)/(D13+F13+L13))</f>
        <v>0.56547231270358311</v>
      </c>
      <c r="P13" s="149">
        <f>L13/$B$4</f>
        <v>8.7365591397849468E-2</v>
      </c>
      <c r="Q13" s="69">
        <f>(T13/($B$4*U13))</f>
        <v>0.12635653126244525</v>
      </c>
      <c r="R13" s="15">
        <v>1</v>
      </c>
      <c r="S13" s="6">
        <f>SUM(D13:F13,H13,J13)</f>
        <v>744</v>
      </c>
      <c r="T13" s="19">
        <v>20306</v>
      </c>
      <c r="U13" s="20">
        <v>216</v>
      </c>
      <c r="W13" s="16" t="s">
        <v>40</v>
      </c>
      <c r="X13" s="17">
        <v>3</v>
      </c>
      <c r="Y13" s="8">
        <f>$X$4-AB13-AD13</f>
        <v>677.5</v>
      </c>
      <c r="Z13" s="8">
        <v>677.5</v>
      </c>
      <c r="AA13" s="8">
        <v>0</v>
      </c>
      <c r="AB13" s="8">
        <v>66.5</v>
      </c>
      <c r="AC13" s="6">
        <f>(AB13/$X$4)</f>
        <v>8.9381720430107531E-2</v>
      </c>
      <c r="AD13" s="8">
        <v>0</v>
      </c>
      <c r="AE13" s="6">
        <f>(AD13/$X$4)</f>
        <v>0</v>
      </c>
      <c r="AF13" s="6">
        <v>0</v>
      </c>
      <c r="AG13" s="6">
        <f>(AF13/$X$4)</f>
        <v>0</v>
      </c>
      <c r="AH13" s="8">
        <v>51</v>
      </c>
      <c r="AI13" s="69">
        <f>(Y13/$X$4)</f>
        <v>0.9106182795698925</v>
      </c>
      <c r="AJ13" s="69">
        <f>((Y13-AH13)/$X$4)</f>
        <v>0.84206989247311825</v>
      </c>
      <c r="AK13" s="149">
        <f>IF((AND(Z13=0,AB13=0)),0,(AB13+AH13)/(Z13+AB13+AH13))</f>
        <v>0.14779874213836477</v>
      </c>
      <c r="AL13" s="149">
        <f>AH13/$X$4</f>
        <v>6.8548387096774188E-2</v>
      </c>
      <c r="AM13" s="69">
        <f>(AP13/($X$4*AQ13))</f>
        <v>0.64186330147351656</v>
      </c>
      <c r="AN13" s="15">
        <v>2</v>
      </c>
      <c r="AO13" s="6">
        <f>SUM(Z13:AB13,AD13,AF13)</f>
        <v>744</v>
      </c>
      <c r="AP13" s="19">
        <v>103150</v>
      </c>
      <c r="AQ13" s="20">
        <v>216</v>
      </c>
      <c r="AS13" s="16" t="s">
        <v>40</v>
      </c>
      <c r="AT13" s="17">
        <v>3</v>
      </c>
      <c r="AU13" s="8">
        <v>720</v>
      </c>
      <c r="AV13" s="8">
        <v>720</v>
      </c>
      <c r="AW13" s="8">
        <v>0</v>
      </c>
      <c r="AX13" s="8">
        <v>0</v>
      </c>
      <c r="AY13" s="6">
        <f>(AX13/$AT$4)</f>
        <v>0</v>
      </c>
      <c r="AZ13" s="8">
        <v>0</v>
      </c>
      <c r="BA13" s="6">
        <f>(AZ13/$AT$4)</f>
        <v>0</v>
      </c>
      <c r="BB13" s="6">
        <v>0</v>
      </c>
      <c r="BC13" s="6">
        <f>(BB13/$AT$4)</f>
        <v>0</v>
      </c>
      <c r="BD13" s="8">
        <v>55</v>
      </c>
      <c r="BE13" s="69">
        <f>(AU13/$AT$4)</f>
        <v>1</v>
      </c>
      <c r="BF13" s="69">
        <f>((AU13-BD13)/$AT$4)</f>
        <v>0.92361111111111116</v>
      </c>
      <c r="BG13" s="149">
        <f>IF((AND(AV13=0,AX13=0)),0,(AX13+BD13)/(AV13+AX13+BD13))</f>
        <v>7.0967741935483872E-2</v>
      </c>
      <c r="BH13" s="149">
        <f>BD13/$AT$4</f>
        <v>7.6388888888888895E-2</v>
      </c>
      <c r="BI13" s="69">
        <f>(BL13/($AT$4*BM13))</f>
        <v>0.69266332304526745</v>
      </c>
      <c r="BJ13" s="6"/>
      <c r="BK13" s="6">
        <f>SUM(AV13:AX13,AZ13,BB13)</f>
        <v>720</v>
      </c>
      <c r="BL13" s="19">
        <v>107723</v>
      </c>
      <c r="BM13" s="20">
        <v>216</v>
      </c>
      <c r="BO13" s="16" t="s">
        <v>40</v>
      </c>
      <c r="BP13" s="17">
        <v>3</v>
      </c>
      <c r="BQ13" s="8">
        <v>724.2</v>
      </c>
      <c r="BR13" s="8">
        <v>724.2</v>
      </c>
      <c r="BS13" s="8">
        <v>0</v>
      </c>
      <c r="BT13" s="8">
        <v>19.8</v>
      </c>
      <c r="BU13" s="69">
        <f>(BT13/$BP$4)</f>
        <v>2.6612903225806454E-2</v>
      </c>
      <c r="BV13" s="8">
        <v>0</v>
      </c>
      <c r="BW13" s="69">
        <f>(BV13/$BP$4)</f>
        <v>0</v>
      </c>
      <c r="BX13" s="6">
        <v>0</v>
      </c>
      <c r="BY13" s="69">
        <f>(BX13/$BP$4)</f>
        <v>0</v>
      </c>
      <c r="BZ13" s="8">
        <v>56</v>
      </c>
      <c r="CA13" s="69">
        <f>(BQ13/$BP$4)</f>
        <v>0.97338709677419366</v>
      </c>
      <c r="CB13" s="69">
        <f>((BQ13-BZ13)/$BP$4)</f>
        <v>0.89811827956989254</v>
      </c>
      <c r="CC13" s="149">
        <f>IF((AND(BR13=0,BT13=0)),0,(BT13+BZ13)/(BR13+BT13+BZ13))</f>
        <v>9.4750000000000001E-2</v>
      </c>
      <c r="CD13" s="149">
        <f>BZ13/$BP$4</f>
        <v>7.5268817204301078E-2</v>
      </c>
      <c r="CE13" s="69">
        <f>(CH13/($BP$4*CI13))</f>
        <v>0.67397824571883713</v>
      </c>
      <c r="CF13" s="69"/>
      <c r="CG13" s="42">
        <f>SUM(BR13:BT13,BV13,BX13)</f>
        <v>744</v>
      </c>
      <c r="CH13" s="19">
        <v>108311</v>
      </c>
      <c r="CI13" s="20">
        <v>216</v>
      </c>
      <c r="CK13" s="16" t="s">
        <v>40</v>
      </c>
      <c r="CL13" s="17">
        <v>3</v>
      </c>
      <c r="CM13" s="8">
        <v>674.33</v>
      </c>
      <c r="CN13" s="8">
        <v>674.33</v>
      </c>
      <c r="CO13" s="8">
        <v>0</v>
      </c>
      <c r="CP13" s="8">
        <v>45.67</v>
      </c>
      <c r="CQ13" s="6">
        <f>(CP13/$CL$4)</f>
        <v>6.3430555555555559E-2</v>
      </c>
      <c r="CR13" s="8">
        <v>0</v>
      </c>
      <c r="CS13" s="6">
        <f>(CR13/$CL$4)</f>
        <v>0</v>
      </c>
      <c r="CT13" s="6">
        <v>0</v>
      </c>
      <c r="CU13" s="6">
        <f>(CT13/$CL$4)</f>
        <v>0</v>
      </c>
      <c r="CV13" s="8">
        <v>50</v>
      </c>
      <c r="CW13" s="69">
        <f>(CM13/$CL$4)</f>
        <v>0.93656944444444445</v>
      </c>
      <c r="CX13" s="69">
        <f>((CM13-CV13)/$CL$4)</f>
        <v>0.86712500000000003</v>
      </c>
      <c r="CY13" s="149">
        <f>IF((AND(CN13=0,CP13=0)),0,(CP13+CV13)/(CN13+CP13+CV13))</f>
        <v>0.12424675324675324</v>
      </c>
      <c r="CZ13" s="149">
        <f>CV13/$CL$4</f>
        <v>6.9444444444444448E-2</v>
      </c>
      <c r="DA13" s="69">
        <f>(DD13/($CL$4*DE13))</f>
        <v>0.56452546296296291</v>
      </c>
      <c r="DB13" s="6"/>
      <c r="DC13" s="6">
        <f>SUM(CN13:CP13,CR13,CT13)</f>
        <v>720</v>
      </c>
      <c r="DD13" s="19">
        <v>87795</v>
      </c>
      <c r="DE13" s="20">
        <v>216</v>
      </c>
      <c r="DG13" s="16" t="s">
        <v>40</v>
      </c>
      <c r="DH13" s="17">
        <v>3</v>
      </c>
      <c r="DI13" s="8">
        <v>621</v>
      </c>
      <c r="DJ13" s="8">
        <v>621</v>
      </c>
      <c r="DK13" s="8">
        <v>0</v>
      </c>
      <c r="DL13" s="8">
        <v>123</v>
      </c>
      <c r="DM13" s="69">
        <f>(DL13/$DH$4)</f>
        <v>0.16532258064516128</v>
      </c>
      <c r="DN13" s="8">
        <v>0</v>
      </c>
      <c r="DO13" s="69">
        <f>(DN13/$DH$4)</f>
        <v>0</v>
      </c>
      <c r="DP13" s="6">
        <v>0</v>
      </c>
      <c r="DQ13" s="69">
        <f>(DP13/$DH$4)</f>
        <v>0</v>
      </c>
      <c r="DR13" s="8">
        <v>46</v>
      </c>
      <c r="DS13" s="69">
        <f>(DI13/$X$4)</f>
        <v>0.83467741935483875</v>
      </c>
      <c r="DT13" s="69">
        <f>((DI13-DR13)/$DH$4)</f>
        <v>0.77284946236559138</v>
      </c>
      <c r="DU13" s="149">
        <f>IF((AND(DJ13=0,DL13=0)),0,(DL13+DR13)/(DJ13+DL13+DR13))</f>
        <v>0.21392405063291139</v>
      </c>
      <c r="DV13" s="149">
        <f>DR13/$DH$4</f>
        <v>6.1827956989247312E-2</v>
      </c>
      <c r="DW13" s="69">
        <f>(DZ13/($DH$4*EA13))</f>
        <v>0.54866711469534046</v>
      </c>
      <c r="DX13" s="69"/>
      <c r="DY13" s="6">
        <f>SUM(DJ13:DL13,DN13,DP13)</f>
        <v>744</v>
      </c>
      <c r="DZ13" s="19">
        <v>88173</v>
      </c>
      <c r="EA13" s="20">
        <v>216</v>
      </c>
      <c r="EC13" s="16" t="s">
        <v>40</v>
      </c>
      <c r="ED13" s="17">
        <v>3</v>
      </c>
      <c r="EE13" s="8">
        <v>738.37</v>
      </c>
      <c r="EF13" s="8">
        <v>738.37</v>
      </c>
      <c r="EG13" s="8">
        <v>0</v>
      </c>
      <c r="EH13" s="8">
        <v>5.63</v>
      </c>
      <c r="EI13" s="6">
        <f>(EH13/$ED$4)</f>
        <v>7.567204301075269E-3</v>
      </c>
      <c r="EJ13" s="8">
        <v>0</v>
      </c>
      <c r="EK13" s="6">
        <f>(EJ13/$ED$4)</f>
        <v>0</v>
      </c>
      <c r="EL13" s="6">
        <v>0</v>
      </c>
      <c r="EM13" s="6">
        <f>(EL13/$ED$4)</f>
        <v>0</v>
      </c>
      <c r="EN13" s="8">
        <v>69.33</v>
      </c>
      <c r="EO13" s="69">
        <f>(EE13/$X$4)</f>
        <v>0.99243279569892473</v>
      </c>
      <c r="EP13" s="69">
        <f>((EE13-EN13)/$ED$4)</f>
        <v>0.89924731182795692</v>
      </c>
      <c r="EQ13" s="149">
        <f>IF((AND(EF13=0,EH13=0)),0,(EH13+EN13)/(EF13+EH13+EN13))</f>
        <v>9.2164312148820274E-2</v>
      </c>
      <c r="ER13" s="149">
        <f>EN13/$ED$4</f>
        <v>9.3185483870967742E-2</v>
      </c>
      <c r="ES13" s="69">
        <f>(EV13/($ED$4*EW13))</f>
        <v>0.66502389486260449</v>
      </c>
      <c r="ET13" s="6"/>
      <c r="EU13" s="6">
        <f>SUM(EF13:EH13,EJ13,EL13)</f>
        <v>744</v>
      </c>
      <c r="EV13" s="19">
        <v>106872</v>
      </c>
      <c r="EW13" s="20">
        <v>216</v>
      </c>
      <c r="EY13" s="16" t="s">
        <v>40</v>
      </c>
      <c r="EZ13" s="17">
        <v>3</v>
      </c>
      <c r="FA13" s="8">
        <v>665.33</v>
      </c>
      <c r="FB13" s="8">
        <v>665.33</v>
      </c>
      <c r="FC13" s="8">
        <v>0</v>
      </c>
      <c r="FD13" s="8">
        <v>6.67</v>
      </c>
      <c r="FE13" s="6">
        <f>(FD13/$EZ$4)</f>
        <v>9.9255952380952386E-3</v>
      </c>
      <c r="FF13" s="8">
        <v>0</v>
      </c>
      <c r="FG13" s="6">
        <f>(FF13/$EZ$4)</f>
        <v>0</v>
      </c>
      <c r="FH13" s="6">
        <v>0</v>
      </c>
      <c r="FI13" s="6">
        <f>(FH13/$EZ$4)</f>
        <v>0</v>
      </c>
      <c r="FJ13" s="8">
        <v>49.28</v>
      </c>
      <c r="FK13" s="69">
        <f>(FA13/$X$4)</f>
        <v>0.89426075268817207</v>
      </c>
      <c r="FL13" s="69">
        <f>((FA13-FJ13)/$EZ$4)</f>
        <v>0.91674107142857153</v>
      </c>
      <c r="FM13" s="149">
        <f>IF((AND(FB13=0,FD13=0)),0,(FD13+FJ13)/(FB13+FD13+FJ13))</f>
        <v>7.7570430346051475E-2</v>
      </c>
      <c r="FN13" s="149">
        <f>FJ13/$EZ$4</f>
        <v>7.3333333333333334E-2</v>
      </c>
      <c r="FO13" s="69">
        <f>(FR13/($EZ$4*FS13))</f>
        <v>0.70810598544973546</v>
      </c>
      <c r="FP13" s="6"/>
      <c r="FQ13" s="6">
        <f>SUM(FB13:FD13,FF13,FH13)</f>
        <v>672</v>
      </c>
      <c r="FR13" s="19">
        <v>102783</v>
      </c>
      <c r="FS13" s="20">
        <v>216</v>
      </c>
      <c r="FU13" s="16" t="s">
        <v>40</v>
      </c>
      <c r="FV13" s="17">
        <v>3</v>
      </c>
      <c r="FW13" s="8">
        <v>664</v>
      </c>
      <c r="FX13" s="8">
        <v>664</v>
      </c>
      <c r="FY13" s="8">
        <v>0</v>
      </c>
      <c r="FZ13" s="8">
        <v>20.83</v>
      </c>
      <c r="GA13" s="69">
        <f>(FZ13/$FV$4)</f>
        <v>2.7997311827956988E-2</v>
      </c>
      <c r="GB13" s="8">
        <v>0</v>
      </c>
      <c r="GC13" s="69">
        <f>(GB13/$FV$4)</f>
        <v>0</v>
      </c>
      <c r="GD13" s="6">
        <v>59.17</v>
      </c>
      <c r="GE13" s="69">
        <f>(GD13/$FV$4)</f>
        <v>7.9529569892473118E-2</v>
      </c>
      <c r="GF13" s="8">
        <v>47.41</v>
      </c>
      <c r="GG13" s="69">
        <f>(FW13/$X$4)</f>
        <v>0.89247311827956988</v>
      </c>
      <c r="GH13" s="69">
        <f>((FW13-GF13)/$FV$4)</f>
        <v>0.8287500000000001</v>
      </c>
      <c r="GI13" s="149">
        <f>IF((AND(FX13=0,FZ13=0)),0,(FZ13+GF13)/(FX13+FZ13+GF13))</f>
        <v>9.3193488473724453E-2</v>
      </c>
      <c r="GJ13" s="149">
        <f>GF13/$FV$4</f>
        <v>6.372311827956989E-2</v>
      </c>
      <c r="GK13" s="69">
        <f>(GN13/($FV$4*GO13))</f>
        <v>0.60678638988450817</v>
      </c>
      <c r="GL13" s="69"/>
      <c r="GM13" s="6">
        <f>SUM(FX13:FZ13,GB13,GD13)</f>
        <v>744</v>
      </c>
      <c r="GN13" s="19">
        <v>97513</v>
      </c>
      <c r="GO13" s="20">
        <v>216</v>
      </c>
      <c r="GQ13" s="16" t="s">
        <v>40</v>
      </c>
      <c r="GR13" s="17">
        <v>3</v>
      </c>
      <c r="GS13" s="8">
        <v>548</v>
      </c>
      <c r="GT13" s="8">
        <v>548</v>
      </c>
      <c r="GU13" s="8">
        <v>0</v>
      </c>
      <c r="GV13" s="8">
        <v>13.92</v>
      </c>
      <c r="GW13" s="6">
        <f>(GV13/$GR$4)</f>
        <v>1.9333333333333334E-2</v>
      </c>
      <c r="GX13" s="8">
        <v>0</v>
      </c>
      <c r="GY13" s="6">
        <f>(GX13/$GR$4)</f>
        <v>0</v>
      </c>
      <c r="GZ13" s="6">
        <v>158.08000000000001</v>
      </c>
      <c r="HA13" s="6">
        <f>(GZ13/$GR$4)</f>
        <v>0.21955555555555556</v>
      </c>
      <c r="HB13" s="8">
        <v>37.32</v>
      </c>
      <c r="HC13" s="69">
        <f>(GS13/$X$4)</f>
        <v>0.73655913978494625</v>
      </c>
      <c r="HD13" s="69">
        <f>((GS13-HB13)/$GR$4)</f>
        <v>0.70927777777777778</v>
      </c>
      <c r="HE13" s="149">
        <f>IF((AND(GT13=0,GV13=0)),0,(GV13+HB13)/(GT13+GV13))</f>
        <v>9.1187357630979515E-2</v>
      </c>
      <c r="HF13" s="149">
        <f>HB13/$GR$4</f>
        <v>5.1833333333333335E-2</v>
      </c>
      <c r="HG13" s="69">
        <f>(HJ13/($GR$4*HK13))</f>
        <v>0.55160751028806587</v>
      </c>
      <c r="HH13" s="15">
        <v>2</v>
      </c>
      <c r="HI13" s="6">
        <f>SUM(GT13:GV13,GX13,GZ13)</f>
        <v>720</v>
      </c>
      <c r="HJ13" s="19">
        <v>85786</v>
      </c>
      <c r="HK13" s="20">
        <v>216</v>
      </c>
      <c r="HM13" s="16" t="s">
        <v>40</v>
      </c>
      <c r="HN13" s="17">
        <v>3</v>
      </c>
      <c r="HO13" s="17">
        <v>744</v>
      </c>
      <c r="HP13" s="17">
        <v>744</v>
      </c>
      <c r="HQ13" s="17">
        <v>0</v>
      </c>
      <c r="HR13" s="17">
        <v>0</v>
      </c>
      <c r="HS13" s="21">
        <f>(HR13/$HN$4)</f>
        <v>0</v>
      </c>
      <c r="HT13" s="17">
        <v>0</v>
      </c>
      <c r="HU13" s="21">
        <f>(HT13/$HN$4)</f>
        <v>0</v>
      </c>
      <c r="HV13" s="17">
        <v>0</v>
      </c>
      <c r="HW13" s="6">
        <f>(HV13/$HN$4)</f>
        <v>0</v>
      </c>
      <c r="HX13" s="17">
        <v>73.489999999999995</v>
      </c>
      <c r="HY13" s="69">
        <f>(HO13/HN$4)</f>
        <v>1</v>
      </c>
      <c r="HZ13" s="164">
        <f>((HO13-HX13)/$HN$4)</f>
        <v>0.90122311827956991</v>
      </c>
      <c r="IA13" s="164">
        <f>IF((AND(HP13=0,HR13=0)),0,(HR13+HX13)/(HP13+HR13+HX13))</f>
        <v>8.9897124123842487E-2</v>
      </c>
      <c r="IB13" s="149">
        <f>HX13/$HN$4</f>
        <v>9.8776881720430101E-2</v>
      </c>
      <c r="IC13" s="69">
        <f>(IF13/($HN$4*IG13))</f>
        <v>0.67230436081242528</v>
      </c>
      <c r="ID13" s="15">
        <v>0</v>
      </c>
      <c r="IE13" s="6">
        <f>SUM(HP13:HR13,HT13,HV13)</f>
        <v>744</v>
      </c>
      <c r="IF13" s="22">
        <v>108042</v>
      </c>
      <c r="IG13" s="20">
        <v>216</v>
      </c>
      <c r="II13" s="16" t="s">
        <v>40</v>
      </c>
      <c r="IJ13" s="17">
        <v>3</v>
      </c>
      <c r="IK13" s="52">
        <v>540.84</v>
      </c>
      <c r="IL13" s="52">
        <v>540.84</v>
      </c>
      <c r="IM13" s="54">
        <v>0</v>
      </c>
      <c r="IN13" s="52">
        <v>179.16</v>
      </c>
      <c r="IO13" s="69">
        <f>(IN13/$IJ$4)</f>
        <v>0.24883333333333332</v>
      </c>
      <c r="IP13" s="54">
        <v>0</v>
      </c>
      <c r="IQ13" s="69">
        <f>(IP13/$IJ$4)</f>
        <v>0</v>
      </c>
      <c r="IR13" s="54">
        <v>0</v>
      </c>
      <c r="IS13" s="69">
        <f>(IR13/$IJ$4)</f>
        <v>0</v>
      </c>
      <c r="IT13" s="52">
        <v>140.85</v>
      </c>
      <c r="IU13" s="69">
        <f>(IK13/$IJ$4)</f>
        <v>0.75116666666666676</v>
      </c>
      <c r="IV13" s="164">
        <f>((IK13-IT13)/$IJ$4)</f>
        <v>0.55554166666666671</v>
      </c>
      <c r="IW13" s="164">
        <f>IF((AND(IL13=0,IN13=0)),0,(IN13+IT13)/(IL13+IN13))</f>
        <v>0.44445833333333334</v>
      </c>
      <c r="IX13" s="149">
        <f>IT13/$IJ$4</f>
        <v>0.19562499999999999</v>
      </c>
      <c r="IY13" s="69">
        <f>(JB13/($IJ$4*JC13))</f>
        <v>0.4681837705761317</v>
      </c>
      <c r="IZ13" s="15">
        <v>2</v>
      </c>
      <c r="JA13" s="15">
        <f>SUM(IL13:IN13,IP13,IR13)</f>
        <v>720</v>
      </c>
      <c r="JB13" s="50">
        <v>72811.94</v>
      </c>
      <c r="JC13" s="20">
        <v>216</v>
      </c>
    </row>
    <row r="14" spans="1:263" ht="15" x14ac:dyDescent="0.25">
      <c r="A14" s="16" t="s">
        <v>41</v>
      </c>
      <c r="B14" s="17">
        <v>4</v>
      </c>
      <c r="C14" s="8">
        <v>0</v>
      </c>
      <c r="D14" s="8">
        <v>0</v>
      </c>
      <c r="E14" s="8">
        <v>0</v>
      </c>
      <c r="F14" s="8">
        <v>744</v>
      </c>
      <c r="G14" s="6">
        <f>(F14/$B$4)</f>
        <v>1</v>
      </c>
      <c r="H14" s="8">
        <v>0</v>
      </c>
      <c r="I14" s="6">
        <f>(H14/$B$4)</f>
        <v>0</v>
      </c>
      <c r="J14" s="6">
        <v>0</v>
      </c>
      <c r="K14" s="6">
        <f>(J14/$B$4)</f>
        <v>0</v>
      </c>
      <c r="L14" s="8">
        <v>0</v>
      </c>
      <c r="M14" s="69">
        <f>(C14/$B$4)</f>
        <v>0</v>
      </c>
      <c r="N14" s="69">
        <f>((C14-L14)/$B$4)</f>
        <v>0</v>
      </c>
      <c r="O14" s="149">
        <f>IF((AND(D14=0,F14=0)),0,(F14+L14)/(D14+F14+L14))</f>
        <v>1</v>
      </c>
      <c r="P14" s="149">
        <f>L14/$B$4</f>
        <v>0</v>
      </c>
      <c r="Q14" s="69">
        <f>(T14/($B$4*U14))</f>
        <v>0</v>
      </c>
      <c r="R14" s="15">
        <v>0</v>
      </c>
      <c r="S14" s="6">
        <f t="shared" ref="S14" si="133">SUM(D14:F14,H14,J14)</f>
        <v>744</v>
      </c>
      <c r="T14" s="8">
        <v>0</v>
      </c>
      <c r="U14" s="20">
        <v>216</v>
      </c>
      <c r="W14" s="16" t="s">
        <v>41</v>
      </c>
      <c r="X14" s="17">
        <v>4</v>
      </c>
      <c r="Y14" s="8">
        <f>$X$4-AB14-AD14</f>
        <v>0</v>
      </c>
      <c r="Z14" s="8">
        <v>0</v>
      </c>
      <c r="AA14" s="8">
        <v>0</v>
      </c>
      <c r="AB14" s="8">
        <v>744</v>
      </c>
      <c r="AC14" s="6">
        <f>(AB14/$X$4)</f>
        <v>1</v>
      </c>
      <c r="AD14" s="8">
        <v>0</v>
      </c>
      <c r="AE14" s="6">
        <f>(AD14/$X$4)</f>
        <v>0</v>
      </c>
      <c r="AF14" s="6">
        <v>0</v>
      </c>
      <c r="AG14" s="6">
        <f>(AF14/$X$4)</f>
        <v>0</v>
      </c>
      <c r="AH14" s="8">
        <v>0</v>
      </c>
      <c r="AI14" s="69">
        <f>(Y14/$X$4)</f>
        <v>0</v>
      </c>
      <c r="AJ14" s="69">
        <f>((Y14-AH14)/$X$4)</f>
        <v>0</v>
      </c>
      <c r="AK14" s="149">
        <f>IF((AND(Z14=0,AB14=0)),0,(AB14+AH14)/(Z14+AB14+AH14))</f>
        <v>1</v>
      </c>
      <c r="AL14" s="149">
        <f>AH14/$X$4</f>
        <v>0</v>
      </c>
      <c r="AM14" s="69">
        <f>(AP14/($X$4*AQ14))</f>
        <v>0</v>
      </c>
      <c r="AN14" s="15">
        <v>0</v>
      </c>
      <c r="AO14" s="6">
        <f t="shared" ref="AO14" si="134">SUM(Z14:AB14,AD14,AF14)</f>
        <v>744</v>
      </c>
      <c r="AP14" s="8">
        <v>0</v>
      </c>
      <c r="AQ14" s="20">
        <v>216</v>
      </c>
      <c r="AS14" s="16" t="s">
        <v>41</v>
      </c>
      <c r="AT14" s="17">
        <v>4</v>
      </c>
      <c r="AU14" s="8">
        <v>0</v>
      </c>
      <c r="AV14" s="8">
        <v>0</v>
      </c>
      <c r="AW14" s="8">
        <v>0</v>
      </c>
      <c r="AX14" s="8">
        <v>720</v>
      </c>
      <c r="AY14" s="6">
        <f>(AX14/$AT$4)</f>
        <v>1</v>
      </c>
      <c r="AZ14" s="8">
        <v>0</v>
      </c>
      <c r="BA14" s="6">
        <f>(AZ14/$AT$4)</f>
        <v>0</v>
      </c>
      <c r="BB14" s="6">
        <v>0</v>
      </c>
      <c r="BC14" s="6">
        <f>(BB14/$AT$4)</f>
        <v>0</v>
      </c>
      <c r="BD14" s="8">
        <v>0</v>
      </c>
      <c r="BE14" s="69">
        <f>(AU14/$AT$4)</f>
        <v>0</v>
      </c>
      <c r="BF14" s="69">
        <f>((AU14-BD14)/$AT$4)</f>
        <v>0</v>
      </c>
      <c r="BG14" s="149">
        <f>IF((AND(AV14=0,AX14=0)),0,(AX14+BD14)/(AV14+AX14+BD14))</f>
        <v>1</v>
      </c>
      <c r="BH14" s="149">
        <f t="shared" ref="BH14" si="135">BD14/$AT$4</f>
        <v>0</v>
      </c>
      <c r="BI14" s="69">
        <f t="shared" ref="BI14" si="136">(BL14/($AT$4*BM14))</f>
        <v>0</v>
      </c>
      <c r="BJ14" s="6"/>
      <c r="BK14" s="6">
        <f t="shared" ref="BK14" si="137">SUM(AV14:AX14,AZ14,BB14)</f>
        <v>720</v>
      </c>
      <c r="BL14" s="8">
        <v>0</v>
      </c>
      <c r="BM14" s="20">
        <v>216</v>
      </c>
      <c r="BO14" s="16" t="s">
        <v>41</v>
      </c>
      <c r="BP14" s="17">
        <v>4</v>
      </c>
      <c r="BQ14" s="8">
        <v>0</v>
      </c>
      <c r="BR14" s="8">
        <v>0</v>
      </c>
      <c r="BS14" s="8">
        <v>0</v>
      </c>
      <c r="BT14" s="8">
        <v>744</v>
      </c>
      <c r="BU14" s="69">
        <f>(BT14/$BP$4)</f>
        <v>1</v>
      </c>
      <c r="BV14" s="8">
        <v>0</v>
      </c>
      <c r="BW14" s="69">
        <f>(BV14/$BP$4)</f>
        <v>0</v>
      </c>
      <c r="BX14" s="6">
        <v>0</v>
      </c>
      <c r="BY14" s="69">
        <f>(BX14/$BP$4)</f>
        <v>0</v>
      </c>
      <c r="BZ14" s="8">
        <v>0</v>
      </c>
      <c r="CA14" s="69">
        <f t="shared" ref="CA14" si="138">(BQ14/$BP$4)</f>
        <v>0</v>
      </c>
      <c r="CB14" s="69">
        <f t="shared" ref="CB14" si="139">((BQ14-BZ14)/$BP$4)</f>
        <v>0</v>
      </c>
      <c r="CC14" s="149">
        <f t="shared" ref="CC14" si="140">IF((AND(BR14=0,BT14=0)),0,(BT14+BZ14)/(BR14+BT14+BZ14))</f>
        <v>1</v>
      </c>
      <c r="CD14" s="149">
        <f t="shared" ref="CD14" si="141">BZ14/$BP$4</f>
        <v>0</v>
      </c>
      <c r="CE14" s="69">
        <f t="shared" ref="CE14" si="142">(CH14/($BP$4*CI14))</f>
        <v>0</v>
      </c>
      <c r="CF14" s="69"/>
      <c r="CG14" s="42">
        <f t="shared" ref="CG14" si="143">SUM(BR14:BT14,BV14,BX14)</f>
        <v>744</v>
      </c>
      <c r="CH14" s="8">
        <v>0</v>
      </c>
      <c r="CI14" s="20">
        <v>216</v>
      </c>
      <c r="CK14" s="16" t="s">
        <v>41</v>
      </c>
      <c r="CL14" s="17">
        <v>4</v>
      </c>
      <c r="CM14" s="8">
        <v>0</v>
      </c>
      <c r="CN14" s="8">
        <v>0</v>
      </c>
      <c r="CO14" s="8">
        <v>0</v>
      </c>
      <c r="CP14" s="8">
        <v>720</v>
      </c>
      <c r="CQ14" s="6">
        <f>(CP14/$CL$4)</f>
        <v>1</v>
      </c>
      <c r="CR14" s="8">
        <v>0</v>
      </c>
      <c r="CS14" s="6">
        <f>(CR14/$CL$4)</f>
        <v>0</v>
      </c>
      <c r="CT14" s="6">
        <v>0</v>
      </c>
      <c r="CU14" s="6">
        <f>(CT14/$CL$4)</f>
        <v>0</v>
      </c>
      <c r="CV14" s="8">
        <v>0</v>
      </c>
      <c r="CW14" s="69">
        <f t="shared" ref="CW14" si="144">(CM14/$CL$4)</f>
        <v>0</v>
      </c>
      <c r="CX14" s="69">
        <f t="shared" ref="CX14" si="145">((CM14-CV14)/$CL$4)</f>
        <v>0</v>
      </c>
      <c r="CY14" s="149">
        <f t="shared" ref="CY14" si="146">IF((AND(CN14=0,CP14=0)),0,(CP14+CV14)/(CN14+CP14+CV14))</f>
        <v>1</v>
      </c>
      <c r="CZ14" s="149">
        <f t="shared" ref="CZ14" si="147">CV14/$CL$4</f>
        <v>0</v>
      </c>
      <c r="DA14" s="69">
        <f t="shared" ref="DA14" si="148">(DD14/($CL$4*DE14))</f>
        <v>0</v>
      </c>
      <c r="DB14" s="6"/>
      <c r="DC14" s="6">
        <f t="shared" ref="DC14" si="149">SUM(CN14:CP14,CR14,CT14)</f>
        <v>720</v>
      </c>
      <c r="DD14" s="8">
        <v>0</v>
      </c>
      <c r="DE14" s="20">
        <v>216</v>
      </c>
      <c r="DG14" s="16" t="s">
        <v>41</v>
      </c>
      <c r="DH14" s="17">
        <v>4</v>
      </c>
      <c r="DI14" s="8">
        <v>0</v>
      </c>
      <c r="DJ14" s="8">
        <v>0</v>
      </c>
      <c r="DK14" s="8">
        <v>0</v>
      </c>
      <c r="DL14" s="8">
        <v>744</v>
      </c>
      <c r="DM14" s="69">
        <f>(DL14/$DH$4)</f>
        <v>1</v>
      </c>
      <c r="DN14" s="8">
        <v>0</v>
      </c>
      <c r="DO14" s="69">
        <f>(DN14/$DH$4)</f>
        <v>0</v>
      </c>
      <c r="DP14" s="6">
        <v>0</v>
      </c>
      <c r="DQ14" s="69">
        <f>(DP14/$DH$4)</f>
        <v>0</v>
      </c>
      <c r="DR14" s="8">
        <v>0</v>
      </c>
      <c r="DS14" s="69">
        <f t="shared" ref="DS14" si="150">(DI14/$X$4)</f>
        <v>0</v>
      </c>
      <c r="DT14" s="69">
        <f t="shared" ref="DT14" si="151">((DI14-DR14)/$DH$4)</f>
        <v>0</v>
      </c>
      <c r="DU14" s="149">
        <f t="shared" ref="DU14" si="152">IF((AND(DJ14=0,DL14=0)),0,(DL14+DR14)/(DJ14+DL14+DR14))</f>
        <v>1</v>
      </c>
      <c r="DV14" s="149">
        <f t="shared" ref="DV14" si="153">DR14/$DH$4</f>
        <v>0</v>
      </c>
      <c r="DW14" s="69">
        <f t="shared" ref="DW14" si="154">(DZ14/($DH$4*EA14))</f>
        <v>0</v>
      </c>
      <c r="DX14" s="69"/>
      <c r="DY14" s="6">
        <f t="shared" ref="DY14" si="155">SUM(DJ14:DL14,DN14,DP14)</f>
        <v>744</v>
      </c>
      <c r="DZ14" s="8">
        <v>0</v>
      </c>
      <c r="EA14" s="20">
        <v>216</v>
      </c>
      <c r="EC14" s="16" t="s">
        <v>41</v>
      </c>
      <c r="ED14" s="17">
        <v>4</v>
      </c>
      <c r="EE14" s="8">
        <v>0</v>
      </c>
      <c r="EF14" s="8">
        <v>0</v>
      </c>
      <c r="EG14" s="8">
        <v>0</v>
      </c>
      <c r="EH14" s="8">
        <v>744</v>
      </c>
      <c r="EI14" s="6">
        <f>(EH14/$ED$4)</f>
        <v>1</v>
      </c>
      <c r="EJ14" s="8">
        <v>0</v>
      </c>
      <c r="EK14" s="6">
        <f>(EJ14/$ED$4)</f>
        <v>0</v>
      </c>
      <c r="EL14" s="6">
        <v>0</v>
      </c>
      <c r="EM14" s="6">
        <f>(EL14/$ED$4)</f>
        <v>0</v>
      </c>
      <c r="EN14" s="8">
        <v>0</v>
      </c>
      <c r="EO14" s="69">
        <f>(EE14/$X$4)</f>
        <v>0</v>
      </c>
      <c r="EP14" s="69">
        <f>((EE14-EN14)/$ED$4)</f>
        <v>0</v>
      </c>
      <c r="EQ14" s="149">
        <f>IF((AND(EF14=0,EH14=0)),0,(EH14+EN14)/(EF14+EH14+EN14))</f>
        <v>1</v>
      </c>
      <c r="ER14" s="149">
        <f>EN14/$ED$4</f>
        <v>0</v>
      </c>
      <c r="ES14" s="69">
        <f>(EV14/($ED$4*EW14))</f>
        <v>0</v>
      </c>
      <c r="ET14" s="6"/>
      <c r="EU14" s="6">
        <f t="shared" ref="EU14" si="156">SUM(EF14:EH14,EJ14,EL14)</f>
        <v>744</v>
      </c>
      <c r="EV14" s="8">
        <v>0</v>
      </c>
      <c r="EW14" s="20">
        <v>216</v>
      </c>
      <c r="EY14" s="16" t="s">
        <v>41</v>
      </c>
      <c r="EZ14" s="17">
        <v>4</v>
      </c>
      <c r="FA14" s="8">
        <v>0</v>
      </c>
      <c r="FB14" s="8">
        <v>0</v>
      </c>
      <c r="FC14" s="8">
        <v>0</v>
      </c>
      <c r="FD14" s="8">
        <v>672</v>
      </c>
      <c r="FE14" s="6">
        <f>(FD14/$EZ$4)</f>
        <v>1</v>
      </c>
      <c r="FF14" s="8">
        <v>0</v>
      </c>
      <c r="FG14" s="6">
        <f>(FF14/$EZ$4)</f>
        <v>0</v>
      </c>
      <c r="FH14" s="6">
        <v>0</v>
      </c>
      <c r="FI14" s="6">
        <f>(FH14/$EZ$4)</f>
        <v>0</v>
      </c>
      <c r="FJ14" s="8">
        <v>0</v>
      </c>
      <c r="FK14" s="69">
        <f>(FA14/$X$4)</f>
        <v>0</v>
      </c>
      <c r="FL14" s="69">
        <f>((FA14-FJ14)/$EZ$4)</f>
        <v>0</v>
      </c>
      <c r="FM14" s="149">
        <f>IF((AND(FB14=0,FD14=0)),0,(FD14+FJ14)/(FB14+FD14+FJ14))</f>
        <v>1</v>
      </c>
      <c r="FN14" s="149">
        <f>FJ14/$EZ$4</f>
        <v>0</v>
      </c>
      <c r="FO14" s="69">
        <f>(FR14/($EZ$4*FS14))</f>
        <v>0</v>
      </c>
      <c r="FP14" s="6"/>
      <c r="FQ14" s="6">
        <f t="shared" ref="FQ14" si="157">SUM(FB14:FD14,FF14,FH14)</f>
        <v>672</v>
      </c>
      <c r="FR14" s="23">
        <v>0</v>
      </c>
      <c r="FS14" s="20">
        <v>216</v>
      </c>
      <c r="FU14" s="16" t="s">
        <v>41</v>
      </c>
      <c r="FV14" s="17">
        <v>4</v>
      </c>
      <c r="FW14" s="8">
        <v>0</v>
      </c>
      <c r="FX14" s="8">
        <v>0</v>
      </c>
      <c r="FY14" s="8">
        <v>0</v>
      </c>
      <c r="FZ14" s="8">
        <v>744</v>
      </c>
      <c r="GA14" s="69">
        <f>(FZ14/$FV$4)</f>
        <v>1</v>
      </c>
      <c r="GB14" s="8">
        <v>0</v>
      </c>
      <c r="GC14" s="69">
        <f>(GB14/$FV$4)</f>
        <v>0</v>
      </c>
      <c r="GD14" s="6">
        <v>0</v>
      </c>
      <c r="GE14" s="69">
        <f>(GD14/$FV$4)</f>
        <v>0</v>
      </c>
      <c r="GF14" s="8">
        <v>0</v>
      </c>
      <c r="GG14" s="69">
        <f>(FW14/$X$4)</f>
        <v>0</v>
      </c>
      <c r="GH14" s="69">
        <f>((FW14-GF14)/$FV$4)</f>
        <v>0</v>
      </c>
      <c r="GI14" s="149">
        <f>IF((AND(FX14=0,FZ14=0)),0,(FZ14+GF14)/(FX14+FZ14+GF14))</f>
        <v>1</v>
      </c>
      <c r="GJ14" s="149">
        <f>GF14/$FV$4</f>
        <v>0</v>
      </c>
      <c r="GK14" s="69">
        <f>(GN14/($FV$4*GO14))</f>
        <v>0</v>
      </c>
      <c r="GL14" s="69"/>
      <c r="GM14" s="6">
        <f t="shared" ref="GM14" si="158">SUM(FX14:FZ14,GB14,GD14)</f>
        <v>744</v>
      </c>
      <c r="GN14" s="8">
        <v>0</v>
      </c>
      <c r="GO14" s="20">
        <v>216</v>
      </c>
      <c r="GQ14" s="16" t="s">
        <v>41</v>
      </c>
      <c r="GR14" s="17">
        <v>4</v>
      </c>
      <c r="GS14" s="8">
        <v>0</v>
      </c>
      <c r="GT14" s="8">
        <v>0</v>
      </c>
      <c r="GU14" s="8">
        <v>0</v>
      </c>
      <c r="GV14" s="8">
        <v>720</v>
      </c>
      <c r="GW14" s="6">
        <f>(GV14/$GR$4)</f>
        <v>1</v>
      </c>
      <c r="GX14" s="8">
        <v>0</v>
      </c>
      <c r="GY14" s="6">
        <f>(GX14/$GR$4)</f>
        <v>0</v>
      </c>
      <c r="GZ14" s="6">
        <v>0</v>
      </c>
      <c r="HA14" s="6">
        <f>(GZ14/$GR$4)</f>
        <v>0</v>
      </c>
      <c r="HB14" s="8">
        <v>0</v>
      </c>
      <c r="HC14" s="69">
        <f>(GS14/$X$4)</f>
        <v>0</v>
      </c>
      <c r="HD14" s="69">
        <f>((GS14-HB14)/$GR$4)</f>
        <v>0</v>
      </c>
      <c r="HE14" s="149">
        <f>IF((AND(GT14=0,GV14=0)),0,(GV14+HB14)/(GT14+GV14))</f>
        <v>1</v>
      </c>
      <c r="HF14" s="149">
        <f>HB14/$GR$4</f>
        <v>0</v>
      </c>
      <c r="HG14" s="69">
        <f>(HJ14/($GR$4*HK14))</f>
        <v>0</v>
      </c>
      <c r="HH14" s="15">
        <v>0</v>
      </c>
      <c r="HI14" s="6">
        <f t="shared" ref="HI14" si="159">SUM(GT14:GV14,GX14,GZ14)</f>
        <v>720</v>
      </c>
      <c r="HJ14" s="8">
        <v>0</v>
      </c>
      <c r="HK14" s="20">
        <v>216</v>
      </c>
      <c r="HM14" s="16" t="s">
        <v>41</v>
      </c>
      <c r="HN14" s="17">
        <v>4</v>
      </c>
      <c r="HO14" s="8">
        <v>0</v>
      </c>
      <c r="HP14" s="8">
        <v>0</v>
      </c>
      <c r="HQ14" s="8">
        <v>0</v>
      </c>
      <c r="HR14" s="8">
        <v>744</v>
      </c>
      <c r="HS14" s="6">
        <f>(HR14/$HN$4)</f>
        <v>1</v>
      </c>
      <c r="HT14" s="8">
        <v>0</v>
      </c>
      <c r="HU14" s="6">
        <f>(HT14/$HN$4)</f>
        <v>0</v>
      </c>
      <c r="HV14" s="8">
        <v>0</v>
      </c>
      <c r="HW14" s="6">
        <f>(HV14/$HN$4)</f>
        <v>0</v>
      </c>
      <c r="HX14" s="8">
        <v>0</v>
      </c>
      <c r="HY14" s="69">
        <f>(HO14/HN$4)</f>
        <v>0</v>
      </c>
      <c r="HZ14" s="69">
        <f>((HO14-HX14)/$HN$4)</f>
        <v>0</v>
      </c>
      <c r="IA14" s="164">
        <f>IF((AND(HP14=0,HR14=0)),0,(HR14+HX14)/(HP14+HR14+HX14))</f>
        <v>1</v>
      </c>
      <c r="IB14" s="149">
        <f t="shared" ref="IB14" si="160">HX14/$HN$4</f>
        <v>0</v>
      </c>
      <c r="IC14" s="69">
        <f>(IF14/($HN$4*IG14))</f>
        <v>0</v>
      </c>
      <c r="ID14" s="15">
        <v>0</v>
      </c>
      <c r="IE14" s="6">
        <f t="shared" ref="IE14" si="161">SUM(HP14:HR14,HT14,HV14)</f>
        <v>744</v>
      </c>
      <c r="IF14" s="8">
        <v>0</v>
      </c>
      <c r="IG14" s="20">
        <v>216</v>
      </c>
      <c r="II14" s="16" t="s">
        <v>41</v>
      </c>
      <c r="IJ14" s="17">
        <v>4</v>
      </c>
      <c r="IK14" s="52">
        <v>0</v>
      </c>
      <c r="IL14" s="52">
        <v>0</v>
      </c>
      <c r="IM14" s="54">
        <v>0</v>
      </c>
      <c r="IN14" s="52">
        <v>720</v>
      </c>
      <c r="IO14" s="69">
        <f>(IN14/$IJ$4)</f>
        <v>1</v>
      </c>
      <c r="IP14" s="54">
        <v>0</v>
      </c>
      <c r="IQ14" s="69">
        <f>(IP14/$IJ$4)</f>
        <v>0</v>
      </c>
      <c r="IR14" s="54">
        <v>0</v>
      </c>
      <c r="IS14" s="69">
        <f>(IR14/$IJ$4)</f>
        <v>0</v>
      </c>
      <c r="IT14" s="54">
        <v>0</v>
      </c>
      <c r="IU14" s="69">
        <f>(IK14/$IJ$4)</f>
        <v>0</v>
      </c>
      <c r="IV14" s="164">
        <f>((IK14-IT14)/$IJ$4)</f>
        <v>0</v>
      </c>
      <c r="IW14" s="69">
        <f>IF((AND(IL14=0,IN14=0)),0,(IN14+IT14)/(IL14+IN14))</f>
        <v>1</v>
      </c>
      <c r="IX14" s="149">
        <f t="shared" ref="IX14" si="162">IT14/$IJ$4</f>
        <v>0</v>
      </c>
      <c r="IY14" s="69">
        <f>(JB14/($IJ$4*JC14))</f>
        <v>0</v>
      </c>
      <c r="IZ14" s="15">
        <v>0</v>
      </c>
      <c r="JA14" s="15">
        <f t="shared" ref="JA14" si="163">SUM(IL14:IN14,IP14,IR14)</f>
        <v>720</v>
      </c>
      <c r="JB14" s="51">
        <v>0</v>
      </c>
      <c r="JC14" s="20">
        <v>216</v>
      </c>
    </row>
    <row r="15" spans="1:263" ht="15" x14ac:dyDescent="0.25">
      <c r="A15" s="16"/>
      <c r="B15" s="24" t="s">
        <v>39</v>
      </c>
      <c r="C15" s="25">
        <f>SUM(C13:C14)</f>
        <v>166.75</v>
      </c>
      <c r="D15" s="25">
        <f t="shared" ref="D15:L15" si="164">SUM(D13:D14)</f>
        <v>166.75</v>
      </c>
      <c r="E15" s="25">
        <f>SUM(E13:E14)</f>
        <v>0</v>
      </c>
      <c r="F15" s="25">
        <f t="shared" si="164"/>
        <v>896</v>
      </c>
      <c r="G15" s="78">
        <f>(G13*U13+G14*U14)/U15</f>
        <v>0.60215053763440862</v>
      </c>
      <c r="H15" s="25">
        <f t="shared" si="164"/>
        <v>0</v>
      </c>
      <c r="I15" s="78">
        <f>(I13*U13+I14*U14)/U15</f>
        <v>0</v>
      </c>
      <c r="J15" s="26">
        <f>SUM(J13:J14)</f>
        <v>425.25</v>
      </c>
      <c r="K15" s="78">
        <f>(K13*U13+K14*U14)/U15</f>
        <v>0.28578629032258063</v>
      </c>
      <c r="L15" s="25">
        <f t="shared" si="164"/>
        <v>65</v>
      </c>
      <c r="M15" s="78">
        <f>(M13*U13+M14*U14)/U15</f>
        <v>0.11206317204301074</v>
      </c>
      <c r="N15" s="81">
        <f>(N13*U13+N14*U14)/U15</f>
        <v>6.8380376344086016E-2</v>
      </c>
      <c r="O15" s="81">
        <f>(O13*U13+O14*U14)/U15</f>
        <v>0.78273615635179161</v>
      </c>
      <c r="P15" s="81">
        <f>(P13*U13+P14*U14)/U15</f>
        <v>4.3682795698924734E-2</v>
      </c>
      <c r="Q15" s="81">
        <f>(Q13*U13+Q14*U14)/U15</f>
        <v>6.3178265631222627E-2</v>
      </c>
      <c r="R15" s="25">
        <f t="shared" ref="R15" si="165">SUM(R13:R14)</f>
        <v>1</v>
      </c>
      <c r="S15" s="30">
        <f>SUM(S13:S14)</f>
        <v>1488</v>
      </c>
      <c r="T15" s="27">
        <f>SUM(T13:T14)</f>
        <v>20306</v>
      </c>
      <c r="U15" s="28">
        <f>SUM(U13:U14)</f>
        <v>432</v>
      </c>
      <c r="V15" s="15"/>
      <c r="W15" s="16"/>
      <c r="X15" s="24" t="s">
        <v>39</v>
      </c>
      <c r="Y15" s="29">
        <f>SUM(Y13:Y14)</f>
        <v>677.5</v>
      </c>
      <c r="Z15" s="29">
        <f t="shared" ref="Z15:AB15" si="166">SUM(Z13:Z14)</f>
        <v>677.5</v>
      </c>
      <c r="AA15" s="29">
        <f>SUM(AA13:AA14)</f>
        <v>0</v>
      </c>
      <c r="AB15" s="29">
        <f t="shared" si="166"/>
        <v>810.5</v>
      </c>
      <c r="AC15" s="79">
        <f>(AC13*AQ13+AC14*AQ14)/AQ15</f>
        <v>0.54469086021505375</v>
      </c>
      <c r="AD15" s="29">
        <f>SUM(AD13:AD14)</f>
        <v>0</v>
      </c>
      <c r="AE15" s="79">
        <f>(AE13*AQ13+AE14*AQ14)/AQ15</f>
        <v>0</v>
      </c>
      <c r="AF15" s="30">
        <f>SUM(AF13:AF14)</f>
        <v>0</v>
      </c>
      <c r="AG15" s="79">
        <f>(AG13*AQ13+AG14*AQ14)/AQ15</f>
        <v>0</v>
      </c>
      <c r="AH15" s="29">
        <f>SUM(AH13:AH14)</f>
        <v>51</v>
      </c>
      <c r="AI15" s="78">
        <f>(AI13*AQ13+AI14*AQ14)/AQ15</f>
        <v>0.45530913978494625</v>
      </c>
      <c r="AJ15" s="79">
        <f>(AJ13*AQ13+AJ14*AQ14)/AQ15</f>
        <v>0.42103494623655913</v>
      </c>
      <c r="AK15" s="79">
        <f>(AK13*AQ13+AK14*AQ14)/AQ15</f>
        <v>0.57389937106918243</v>
      </c>
      <c r="AL15" s="79">
        <f>(AL13*AQ13+AL14*AQ14)/AQ15</f>
        <v>3.4274193548387094E-2</v>
      </c>
      <c r="AM15" s="81">
        <f>(AM13*AQ13+AM14*AQ14)/AQ15</f>
        <v>0.32093165073675828</v>
      </c>
      <c r="AN15" s="29">
        <f>SUM(AN13:AN14)</f>
        <v>2</v>
      </c>
      <c r="AO15" s="30">
        <f>SUM(AO13:AO14)</f>
        <v>1488</v>
      </c>
      <c r="AP15" s="27">
        <f>SUM(AP13:AP14)</f>
        <v>103150</v>
      </c>
      <c r="AQ15" s="31">
        <f>SUM(AQ13:AQ14)</f>
        <v>432</v>
      </c>
      <c r="AR15" s="15"/>
      <c r="AS15" s="16"/>
      <c r="AT15" s="32" t="s">
        <v>39</v>
      </c>
      <c r="AU15" s="25">
        <f>SUM(AU13:AU14)</f>
        <v>720</v>
      </c>
      <c r="AV15" s="25">
        <f t="shared" ref="AV15:BD15" si="167">SUM(AV13:AV14)</f>
        <v>720</v>
      </c>
      <c r="AW15" s="25">
        <f>SUM(AW13:AW14)</f>
        <v>0</v>
      </c>
      <c r="AX15" s="25">
        <f t="shared" si="167"/>
        <v>720</v>
      </c>
      <c r="AY15" s="78">
        <f>(AY13*BM13+AY14*BM14)/BM15</f>
        <v>0.5</v>
      </c>
      <c r="AZ15" s="25">
        <f t="shared" si="167"/>
        <v>0</v>
      </c>
      <c r="BA15" s="78">
        <f>(BA13*BM13+BA14*BM14)/BM15</f>
        <v>0</v>
      </c>
      <c r="BB15" s="26">
        <f>SUM(BB13:BB14)</f>
        <v>0</v>
      </c>
      <c r="BC15" s="79">
        <f>(BC13*BM13+BC14*BM14)/BM15</f>
        <v>0</v>
      </c>
      <c r="BD15" s="25">
        <f t="shared" si="167"/>
        <v>55</v>
      </c>
      <c r="BE15" s="78">
        <f>(BE13*BM13+BE14*BM14)/BM15</f>
        <v>0.5</v>
      </c>
      <c r="BF15" s="81">
        <f>(BF13*BM13+BF14*BM14)/BM15</f>
        <v>0.46180555555555558</v>
      </c>
      <c r="BG15" s="81">
        <f>(BG13*BM13+BG14*BM14)/BM15</f>
        <v>0.53548387096774197</v>
      </c>
      <c r="BH15" s="81">
        <f>(BH13*BM13+BH14*BM14)/BM15</f>
        <v>3.8194444444444448E-2</v>
      </c>
      <c r="BI15" s="81">
        <f>(BI13*BM13+BI14*BM14)/BM15</f>
        <v>0.34633166152263373</v>
      </c>
      <c r="BJ15" s="149"/>
      <c r="BK15" s="30">
        <f>SUM(BK13:BK14)</f>
        <v>1440</v>
      </c>
      <c r="BL15" s="33">
        <f>SUM(BL13:BL14)</f>
        <v>107723</v>
      </c>
      <c r="BM15" s="31">
        <f>SUM(BM13:BM14)</f>
        <v>432</v>
      </c>
      <c r="BO15" s="16"/>
      <c r="BP15" s="32" t="s">
        <v>39</v>
      </c>
      <c r="BQ15" s="25">
        <f>SUM(BQ13:BQ14)</f>
        <v>724.2</v>
      </c>
      <c r="BR15" s="25">
        <f t="shared" ref="BR15:BZ15" si="168">SUM(BR13:BR14)</f>
        <v>724.2</v>
      </c>
      <c r="BS15" s="25">
        <f>SUM(BS13:BS14)</f>
        <v>0</v>
      </c>
      <c r="BT15" s="25">
        <f t="shared" si="168"/>
        <v>763.8</v>
      </c>
      <c r="BU15" s="78">
        <f>(BU13*CI13+BU14*CI14)/CI15</f>
        <v>0.51330645161290323</v>
      </c>
      <c r="BV15" s="25">
        <f t="shared" si="168"/>
        <v>0</v>
      </c>
      <c r="BW15" s="78">
        <f>(BW13*CI13+BW14*CI14)/CI15</f>
        <v>0</v>
      </c>
      <c r="BX15" s="26">
        <f>SUM(BX13:BX14)</f>
        <v>0</v>
      </c>
      <c r="BY15" s="79">
        <f>(BY13*CI13+BY14*CI14)/CI15</f>
        <v>0</v>
      </c>
      <c r="BZ15" s="25">
        <f t="shared" si="168"/>
        <v>56</v>
      </c>
      <c r="CA15" s="78">
        <f>(CA13*CI13+CA14*CI14)/CI15</f>
        <v>0.48669354838709683</v>
      </c>
      <c r="CB15" s="81">
        <f>(CB13*CI13+CB14*CI14)/CI15</f>
        <v>0.44905913978494627</v>
      </c>
      <c r="CC15" s="81">
        <f>(CC13*CI13+CC14*CI14)/CI15</f>
        <v>0.54737500000000006</v>
      </c>
      <c r="CD15" s="81">
        <f>(CD13*CI13+CD14*CI14)/CI15</f>
        <v>3.7634408602150539E-2</v>
      </c>
      <c r="CE15" s="81">
        <f>(CE13*CI13+CE14*CI14)/CI15</f>
        <v>0.33698912285941857</v>
      </c>
      <c r="CF15" s="149"/>
      <c r="CG15" s="33">
        <f>SUM(CG13:CG14)</f>
        <v>1488</v>
      </c>
      <c r="CH15" s="33">
        <f>SUM(CH13:CH14)</f>
        <v>108311</v>
      </c>
      <c r="CI15" s="31">
        <f>SUM(CI13:CI14)</f>
        <v>432</v>
      </c>
      <c r="CJ15" s="15"/>
      <c r="CK15" s="16"/>
      <c r="CL15" s="32" t="s">
        <v>39</v>
      </c>
      <c r="CM15" s="25">
        <f>SUM(CM13:CM14)</f>
        <v>674.33</v>
      </c>
      <c r="CN15" s="25">
        <f t="shared" ref="CN15:CV15" si="169">SUM(CN13:CN14)</f>
        <v>674.33</v>
      </c>
      <c r="CO15" s="25">
        <f>SUM(CO13:CO14)</f>
        <v>0</v>
      </c>
      <c r="CP15" s="25">
        <f t="shared" si="169"/>
        <v>765.67</v>
      </c>
      <c r="CQ15" s="78">
        <f>(CQ13*DE13+CQ14*DE14)/DE15</f>
        <v>0.53171527777777772</v>
      </c>
      <c r="CR15" s="25">
        <f t="shared" si="169"/>
        <v>0</v>
      </c>
      <c r="CS15" s="78">
        <f>(CS13*DE13+CS14*DE14)/DE15</f>
        <v>0</v>
      </c>
      <c r="CT15" s="26">
        <f>SUM(CT13:CT14)</f>
        <v>0</v>
      </c>
      <c r="CU15" s="78">
        <f>(CU13*DE13+CU14*DE14)/DE15</f>
        <v>0</v>
      </c>
      <c r="CV15" s="25">
        <f t="shared" si="169"/>
        <v>50</v>
      </c>
      <c r="CW15" s="78">
        <f>(CW13*DE13+CW14*DE14)/DE15</f>
        <v>0.46828472222222223</v>
      </c>
      <c r="CX15" s="81">
        <f>(CX13*DE13+CX14*DE14)/DE15</f>
        <v>0.43356250000000002</v>
      </c>
      <c r="CY15" s="81">
        <f>(CY13*DE13+CY14*DE14)/DE15</f>
        <v>0.56212337662337664</v>
      </c>
      <c r="CZ15" s="81">
        <f>(CZ13*DE13+CZ14*DE14)/DE15</f>
        <v>3.4722222222222224E-2</v>
      </c>
      <c r="DA15" s="81">
        <f>(DA13*DE13+DA14*DE14)/DE15</f>
        <v>0.28226273148148145</v>
      </c>
      <c r="DB15" s="149"/>
      <c r="DC15" s="30">
        <f>SUM(DC13:DC14)</f>
        <v>1440</v>
      </c>
      <c r="DD15" s="33">
        <f>SUM(DD13:DD14)</f>
        <v>87795</v>
      </c>
      <c r="DE15" s="31">
        <f>SUM(DE13:DE14)</f>
        <v>432</v>
      </c>
      <c r="DF15" s="15"/>
      <c r="DG15" s="16"/>
      <c r="DH15" s="32" t="s">
        <v>39</v>
      </c>
      <c r="DI15" s="25">
        <f>SUM(DI13:DI14)</f>
        <v>621</v>
      </c>
      <c r="DJ15" s="25">
        <f t="shared" ref="DJ15:DR15" si="170">SUM(DJ13:DJ14)</f>
        <v>621</v>
      </c>
      <c r="DK15" s="25">
        <f>SUM(DK13:DK14)</f>
        <v>0</v>
      </c>
      <c r="DL15" s="25">
        <f t="shared" si="170"/>
        <v>867</v>
      </c>
      <c r="DM15" s="78">
        <f>(DM13*EA13+DM14*EA14)/EA15</f>
        <v>0.58266129032258063</v>
      </c>
      <c r="DN15" s="25">
        <f t="shared" si="170"/>
        <v>0</v>
      </c>
      <c r="DO15" s="78">
        <f>(DO13*EA13+DO14*EA14)/EA15</f>
        <v>0</v>
      </c>
      <c r="DP15" s="26">
        <f>SUM(DP13:DP14)</f>
        <v>0</v>
      </c>
      <c r="DQ15" s="79">
        <f>(DQ13*EA13+DQ14*EA14)/EA15</f>
        <v>0</v>
      </c>
      <c r="DR15" s="25">
        <f t="shared" si="170"/>
        <v>46</v>
      </c>
      <c r="DS15" s="78">
        <f>(DS13*EA13+DS14*EA14)/EA15</f>
        <v>0.41733870967741943</v>
      </c>
      <c r="DT15" s="81">
        <f>(DT13*EA13+DT14*EA14)/EA15</f>
        <v>0.38642473118279569</v>
      </c>
      <c r="DU15" s="81">
        <f>(DU13*EA13+DU14*EA14)/EA15</f>
        <v>0.60696202531645571</v>
      </c>
      <c r="DV15" s="81">
        <f>(DV13*EA13+DV14*EA14)/EA15</f>
        <v>3.0913978494623656E-2</v>
      </c>
      <c r="DW15" s="81">
        <f>(DW13*EA13+DW14*EA14)/EA15</f>
        <v>0.27433355734767023</v>
      </c>
      <c r="DX15" s="149"/>
      <c r="DY15" s="30">
        <f>SUM(DY13:DY14)</f>
        <v>1488</v>
      </c>
      <c r="DZ15" s="33">
        <f>SUM(DZ13:DZ14)</f>
        <v>88173</v>
      </c>
      <c r="EA15" s="31">
        <f>SUM(EA13:EA14)</f>
        <v>432</v>
      </c>
      <c r="EB15" s="15"/>
      <c r="EC15" s="16"/>
      <c r="ED15" s="32" t="s">
        <v>39</v>
      </c>
      <c r="EE15" s="25">
        <f>SUM(EE13:EE14)</f>
        <v>738.37</v>
      </c>
      <c r="EF15" s="25">
        <f t="shared" ref="EF15:EN15" si="171">SUM(EF13:EF14)</f>
        <v>738.37</v>
      </c>
      <c r="EG15" s="25">
        <f>SUM(EG13:EG14)</f>
        <v>0</v>
      </c>
      <c r="EH15" s="25">
        <f t="shared" si="171"/>
        <v>749.63</v>
      </c>
      <c r="EI15" s="78">
        <f>(EI13*EW13+EI14*EW14)/EW15</f>
        <v>0.50378360215053763</v>
      </c>
      <c r="EJ15" s="25">
        <f t="shared" si="171"/>
        <v>0</v>
      </c>
      <c r="EK15" s="78">
        <f>(EK13*EW13+EK14*EW14)/EW15</f>
        <v>0</v>
      </c>
      <c r="EL15" s="26">
        <f>SUM(EL13:EL14)</f>
        <v>0</v>
      </c>
      <c r="EM15" s="79">
        <f>(EM13*EW13+EM14*EW14)/EW15</f>
        <v>0</v>
      </c>
      <c r="EN15" s="25">
        <f t="shared" si="171"/>
        <v>69.33</v>
      </c>
      <c r="EO15" s="78">
        <f>(EO13*EW13+EO14*EW14)/EW15</f>
        <v>0.49621639784946237</v>
      </c>
      <c r="EP15" s="81">
        <f>(EP13*EW13+EP14*EW14)/EW15</f>
        <v>0.44962365591397846</v>
      </c>
      <c r="EQ15" s="81">
        <f>(EQ13*EW13+EQ14*EW14)/EW15</f>
        <v>0.54608215607441013</v>
      </c>
      <c r="ER15" s="81"/>
      <c r="ES15" s="81">
        <f>(ES13*EW13+ES14*EW14)/EW15</f>
        <v>0.33251194743130225</v>
      </c>
      <c r="ET15" s="149"/>
      <c r="EU15" s="30">
        <f>SUM(EU13:EU14)</f>
        <v>1488</v>
      </c>
      <c r="EV15" s="33">
        <f>SUM(EV13:EV14)</f>
        <v>106872</v>
      </c>
      <c r="EW15" s="31">
        <f>SUM(EW13:EW14)</f>
        <v>432</v>
      </c>
      <c r="EX15" s="15"/>
      <c r="EY15" s="16"/>
      <c r="EZ15" s="24" t="s">
        <v>39</v>
      </c>
      <c r="FA15" s="25">
        <f>SUM(FA13:FA14)</f>
        <v>665.33</v>
      </c>
      <c r="FB15" s="25">
        <f t="shared" ref="FB15:FJ15" si="172">SUM(FB13:FB14)</f>
        <v>665.33</v>
      </c>
      <c r="FC15" s="25">
        <f>SUM(FC13:FC14)</f>
        <v>0</v>
      </c>
      <c r="FD15" s="25">
        <f t="shared" si="172"/>
        <v>678.67</v>
      </c>
      <c r="FE15" s="78">
        <f>(FE13*FS13+FE14*FS14)/FS15</f>
        <v>0.50496279761904761</v>
      </c>
      <c r="FF15" s="25">
        <f t="shared" si="172"/>
        <v>0</v>
      </c>
      <c r="FG15" s="78">
        <f>(FG13*FS13+FG14*FS14)/FS15</f>
        <v>0</v>
      </c>
      <c r="FH15" s="26">
        <f>SUM(FH13:FH14)</f>
        <v>0</v>
      </c>
      <c r="FI15" s="79">
        <f>(FI13*FS13+FI14*FS14)/FS15</f>
        <v>0</v>
      </c>
      <c r="FJ15" s="25">
        <f t="shared" si="172"/>
        <v>49.28</v>
      </c>
      <c r="FK15" s="78">
        <f>(FK13*FS13+FK14*FS14)/FS15</f>
        <v>0.44713037634408603</v>
      </c>
      <c r="FL15" s="81">
        <f>(FL13*FS13+FL14*FS14)/FS15</f>
        <v>0.45837053571428577</v>
      </c>
      <c r="FM15" s="81">
        <f>(FM13*FS13+FM14*FS14)/FS15</f>
        <v>0.5387852151730258</v>
      </c>
      <c r="FN15" s="81"/>
      <c r="FO15" s="81">
        <f>(FO13*FS13+FO14*FS14)/FS15</f>
        <v>0.35405299272486773</v>
      </c>
      <c r="FP15" s="149"/>
      <c r="FQ15" s="30">
        <f>SUM(FQ13:FQ14)</f>
        <v>1344</v>
      </c>
      <c r="FR15" s="34">
        <f>SUM(FR13:FR14)</f>
        <v>102783</v>
      </c>
      <c r="FS15" s="31">
        <f>SUM(FS13:FS14)</f>
        <v>432</v>
      </c>
      <c r="FT15" s="15"/>
      <c r="FU15" s="16"/>
      <c r="FV15" s="24" t="s">
        <v>39</v>
      </c>
      <c r="FW15" s="25">
        <f>SUM(FW13:FW14)</f>
        <v>664</v>
      </c>
      <c r="FX15" s="25">
        <f t="shared" ref="FX15:GF15" si="173">SUM(FX13:FX14)</f>
        <v>664</v>
      </c>
      <c r="FY15" s="25">
        <f>SUM(FY13:FY14)</f>
        <v>0</v>
      </c>
      <c r="FZ15" s="25">
        <f t="shared" si="173"/>
        <v>764.83</v>
      </c>
      <c r="GA15" s="78">
        <f>(GA13*GO13+GA14*GO14)/GO15</f>
        <v>0.51399865591397853</v>
      </c>
      <c r="GB15" s="25">
        <f t="shared" si="173"/>
        <v>0</v>
      </c>
      <c r="GC15" s="78">
        <f>(GC13*GO13+GC14*GO14)/GO15</f>
        <v>0</v>
      </c>
      <c r="GD15" s="26">
        <f>SUM(GD13:GD14)</f>
        <v>59.17</v>
      </c>
      <c r="GE15" s="79">
        <f>(GE13*GO13+GE14*GO14)/GO15</f>
        <v>3.9764784946236559E-2</v>
      </c>
      <c r="GF15" s="25">
        <f t="shared" si="173"/>
        <v>47.41</v>
      </c>
      <c r="GG15" s="78">
        <f>(GG13*GO13+GG14*GO14)/GO15</f>
        <v>0.44623655913978494</v>
      </c>
      <c r="GH15" s="81">
        <f>(GH13*GO13+GH14*GO14)/GO15</f>
        <v>0.41437500000000005</v>
      </c>
      <c r="GI15" s="81">
        <f>(GI13*GO13+GI14*GO14)/GO15</f>
        <v>0.54659674423686222</v>
      </c>
      <c r="GJ15" s="81">
        <f>(GJ13*GO13+GJ14*GO14)/GO15</f>
        <v>3.1861559139784945E-2</v>
      </c>
      <c r="GK15" s="81">
        <f>(GK13*GO13+GK14*GO14)/GO15</f>
        <v>0.30339319494225409</v>
      </c>
      <c r="GL15" s="149"/>
      <c r="GM15" s="30">
        <f>SUM(GM13:GM14)</f>
        <v>1488</v>
      </c>
      <c r="GN15" s="33">
        <f>SUM(GN13:GN14)</f>
        <v>97513</v>
      </c>
      <c r="GO15" s="31">
        <f>SUM(GO13:GO14)</f>
        <v>432</v>
      </c>
      <c r="GP15" s="15"/>
      <c r="GQ15" s="16"/>
      <c r="GR15" s="32" t="s">
        <v>39</v>
      </c>
      <c r="GS15" s="25">
        <f>SUM(GS13:GS14)</f>
        <v>548</v>
      </c>
      <c r="GT15" s="25">
        <f t="shared" ref="GT15:HB15" si="174">SUM(GT13:GT14)</f>
        <v>548</v>
      </c>
      <c r="GU15" s="25">
        <f>SUM(GU13:GU14)</f>
        <v>0</v>
      </c>
      <c r="GV15" s="25">
        <f t="shared" si="174"/>
        <v>733.92</v>
      </c>
      <c r="GW15" s="78">
        <f>(GW13*$HK$13+GW14*$HK$14)/$HK$15</f>
        <v>0.5096666666666666</v>
      </c>
      <c r="GX15" s="25">
        <f t="shared" si="174"/>
        <v>0</v>
      </c>
      <c r="GY15" s="78">
        <f>(GY13*HK13+GY14*HK14)/HK15</f>
        <v>0</v>
      </c>
      <c r="GZ15" s="26">
        <f>SUM(GZ13:GZ14)</f>
        <v>158.08000000000001</v>
      </c>
      <c r="HA15" s="78">
        <f>(HA13*HK13+HA14*HK14)/HK15</f>
        <v>0.10977777777777778</v>
      </c>
      <c r="HB15" s="25">
        <f t="shared" si="174"/>
        <v>37.32</v>
      </c>
      <c r="HC15" s="78">
        <f>(HC13*HK13+HC14*HK14)/HK15</f>
        <v>0.36827956989247312</v>
      </c>
      <c r="HD15" s="81">
        <f>(HD13*HK13+HD14*HK14)/HK15</f>
        <v>0.35463888888888889</v>
      </c>
      <c r="HE15" s="81">
        <f>(HE13*HK13+HE14*HK14)/HK15</f>
        <v>0.54559367881548981</v>
      </c>
      <c r="HF15" s="78">
        <f>(HF13*$HK$13+HF14*$HK$14)/$HK$15</f>
        <v>2.5916666666666668E-2</v>
      </c>
      <c r="HG15" s="81">
        <f>(HG13*HK13+HG14*HK14)/HK15</f>
        <v>0.27580375514403294</v>
      </c>
      <c r="HH15" s="25">
        <f t="shared" ref="HH15" si="175">SUM(HH13:HH14)</f>
        <v>2</v>
      </c>
      <c r="HI15" s="30">
        <f>SUM(HI13:HI14)</f>
        <v>1440</v>
      </c>
      <c r="HJ15" s="33">
        <f>SUM(HJ13:HJ14)</f>
        <v>85786</v>
      </c>
      <c r="HK15" s="31">
        <f>SUM(HK13:HK14)</f>
        <v>432</v>
      </c>
      <c r="HL15" s="15"/>
      <c r="HM15" s="16"/>
      <c r="HN15" s="32" t="s">
        <v>39</v>
      </c>
      <c r="HO15" s="25">
        <f>SUM(HO13:HO14)</f>
        <v>744</v>
      </c>
      <c r="HP15" s="25">
        <f t="shared" ref="HP15:HX15" si="176">SUM(HP13:HP14)</f>
        <v>744</v>
      </c>
      <c r="HQ15" s="25">
        <f>SUM(HQ13:HQ14)</f>
        <v>0</v>
      </c>
      <c r="HR15" s="25">
        <f t="shared" si="176"/>
        <v>744</v>
      </c>
      <c r="HS15" s="78">
        <f>(HS13*IG13+HS14*IG14)/IG15</f>
        <v>0.5</v>
      </c>
      <c r="HT15" s="25">
        <f t="shared" si="176"/>
        <v>0</v>
      </c>
      <c r="HU15" s="78">
        <f>(HU13*IG13+HU14*IG14)/IG15</f>
        <v>0</v>
      </c>
      <c r="HV15" s="26">
        <f>SUM(HV13:HV14)</f>
        <v>0</v>
      </c>
      <c r="HW15" s="78">
        <f>(HW13*IG13+HW14*IG14)/IG15</f>
        <v>0</v>
      </c>
      <c r="HX15" s="25">
        <f t="shared" si="176"/>
        <v>73.489999999999995</v>
      </c>
      <c r="HY15" s="78">
        <f>(HY13*IG13+HY14*IG14)/IG15</f>
        <v>0.5</v>
      </c>
      <c r="HZ15" s="81">
        <f>(HZ13*IG13+HZ14*IG14)/IG15</f>
        <v>0.45061155913978496</v>
      </c>
      <c r="IA15" s="81">
        <f>(IA13*IG13+IA14*IG14)/IG15</f>
        <v>0.54494856206192122</v>
      </c>
      <c r="IB15" s="81">
        <f>(IB13*IG13+IB14*IG14)/IG15</f>
        <v>4.9388440860215051E-2</v>
      </c>
      <c r="IC15" s="81">
        <f>(IC13*IG13+IC14*IG14)/IG15</f>
        <v>0.33615218040621264</v>
      </c>
      <c r="ID15" s="25">
        <f t="shared" ref="ID15" si="177">SUM(ID13:ID14)</f>
        <v>0</v>
      </c>
      <c r="IE15" s="30">
        <f>SUM(IE13:IE14)</f>
        <v>1488</v>
      </c>
      <c r="IF15" s="33">
        <f>SUM(IF13:IF14)</f>
        <v>108042</v>
      </c>
      <c r="IG15" s="31">
        <f>SUM(IG13:IG14)</f>
        <v>432</v>
      </c>
      <c r="IH15" s="15"/>
      <c r="II15" s="16"/>
      <c r="IJ15" s="32" t="s">
        <v>84</v>
      </c>
      <c r="IK15" s="29">
        <f>SUM(IK13:IK14)</f>
        <v>540.84</v>
      </c>
      <c r="IL15" s="29">
        <f t="shared" ref="IL15:IM15" si="178">SUM(IL13:IL14)</f>
        <v>540.84</v>
      </c>
      <c r="IM15" s="29">
        <f t="shared" si="178"/>
        <v>0</v>
      </c>
      <c r="IN15" s="29">
        <f t="shared" ref="IN15:IT15" si="179">SUM(IN13:IN14)</f>
        <v>899.16</v>
      </c>
      <c r="IO15" s="78">
        <f>(IO13*JC13+IO14*JC14)/JC15</f>
        <v>0.62441666666666662</v>
      </c>
      <c r="IP15" s="29">
        <f t="shared" si="179"/>
        <v>0</v>
      </c>
      <c r="IQ15" s="78">
        <f>(IQ13*JC13+IQ14*JC14)/JC15</f>
        <v>0</v>
      </c>
      <c r="IR15" s="29">
        <f t="shared" si="179"/>
        <v>0</v>
      </c>
      <c r="IS15" s="78">
        <f>(IS13*JC13+IS14*JC14)/JC15</f>
        <v>0</v>
      </c>
      <c r="IT15" s="29">
        <f t="shared" si="179"/>
        <v>140.85</v>
      </c>
      <c r="IU15" s="79">
        <f>(IU13*JC13+IU14*JC14)/JC15</f>
        <v>0.37558333333333338</v>
      </c>
      <c r="IV15" s="80">
        <f>(IV13*JC13+IV14*JC14)/JC15</f>
        <v>0.27777083333333336</v>
      </c>
      <c r="IW15" s="80">
        <f>(IW13*JC13+IW14*JC14)/JC15</f>
        <v>0.72222916666666659</v>
      </c>
      <c r="IX15" s="80">
        <f>(IX13*JC13+IX14*JC14)/JC15</f>
        <v>9.7812499999999983E-2</v>
      </c>
      <c r="IY15" s="80">
        <f>(IY13*JC13+IY14*JC14)/JC15</f>
        <v>0.23409188528806585</v>
      </c>
      <c r="IZ15" s="152">
        <f>SUM(IZ13:IZ14)</f>
        <v>2</v>
      </c>
      <c r="JA15" s="31">
        <f>SUM(JA13:JA14)</f>
        <v>1440</v>
      </c>
      <c r="JB15" s="45">
        <f>SUM(JB13:JB14)</f>
        <v>72811.94</v>
      </c>
      <c r="JC15" s="31">
        <f>SUM(JC13:JC14)</f>
        <v>432</v>
      </c>
    </row>
    <row r="16" spans="1:263" ht="15" x14ac:dyDescent="0.25">
      <c r="A16" s="16" t="s">
        <v>42</v>
      </c>
      <c r="B16" s="17">
        <v>5</v>
      </c>
      <c r="C16" s="8">
        <v>542.6</v>
      </c>
      <c r="D16" s="8">
        <v>542.6</v>
      </c>
      <c r="E16" s="8">
        <v>0</v>
      </c>
      <c r="F16" s="8">
        <v>192.87</v>
      </c>
      <c r="G16" s="6">
        <f>(F16/$B$4)</f>
        <v>0.25923387096774192</v>
      </c>
      <c r="H16" s="8">
        <v>8.5299999999999994</v>
      </c>
      <c r="I16" s="6">
        <f>(H16/$B$4)</f>
        <v>1.1465053763440858E-2</v>
      </c>
      <c r="J16" s="6">
        <v>0</v>
      </c>
      <c r="K16" s="6">
        <f>(J16/$B$4)</f>
        <v>0</v>
      </c>
      <c r="L16" s="8">
        <v>121.79</v>
      </c>
      <c r="M16" s="69">
        <f>(C16/$B$4)</f>
        <v>0.72930107526881727</v>
      </c>
      <c r="N16" s="69">
        <f>((C16-L16)/$B$4)</f>
        <v>0.56560483870967737</v>
      </c>
      <c r="O16" s="149">
        <f>IF((AND(D16=0,F16=0)),0,(F16+L16)/(D16+F16+L16))</f>
        <v>0.36705316940018201</v>
      </c>
      <c r="P16" s="149">
        <f>L16/$B$4</f>
        <v>0.16369623655913978</v>
      </c>
      <c r="Q16" s="69">
        <f>(T16/($B$4*U16))</f>
        <v>0.46485706792551795</v>
      </c>
      <c r="R16" s="15">
        <v>4</v>
      </c>
      <c r="S16" s="6">
        <f>SUM(D16:F16,H16,J16)</f>
        <v>744</v>
      </c>
      <c r="T16" s="86">
        <v>141800</v>
      </c>
      <c r="U16" s="8">
        <v>410</v>
      </c>
      <c r="W16" s="16" t="s">
        <v>42</v>
      </c>
      <c r="X16" s="17">
        <v>5</v>
      </c>
      <c r="Y16" s="8">
        <f>$X$4-AB16-AD16</f>
        <v>652.83000000000004</v>
      </c>
      <c r="Z16" s="8">
        <v>652.83000000000004</v>
      </c>
      <c r="AA16" s="8">
        <v>0</v>
      </c>
      <c r="AB16" s="8">
        <v>91.17</v>
      </c>
      <c r="AC16" s="6">
        <f>(AB16/$X$4)</f>
        <v>0.12254032258064516</v>
      </c>
      <c r="AD16" s="8">
        <v>0</v>
      </c>
      <c r="AE16" s="6">
        <f>(AD16/$X$4)</f>
        <v>0</v>
      </c>
      <c r="AF16" s="6">
        <v>0</v>
      </c>
      <c r="AG16" s="6">
        <f>(AF16/$X$4)</f>
        <v>0</v>
      </c>
      <c r="AH16" s="8">
        <v>161</v>
      </c>
      <c r="AI16" s="69">
        <f>(Y16/$X$4)</f>
        <v>0.87745967741935493</v>
      </c>
      <c r="AJ16" s="69">
        <f>((Y16-AH16)/$X$4)</f>
        <v>0.66106182795698931</v>
      </c>
      <c r="AK16" s="149">
        <f>IF((AND(Z16=0,AB16=0)),0,(AB16+AH16)/(Z16+AB16+AH16))</f>
        <v>0.27864088397790054</v>
      </c>
      <c r="AL16" s="149">
        <f>AH16/$X$4</f>
        <v>0.21639784946236559</v>
      </c>
      <c r="AM16" s="69">
        <f>(AP16/($X$4*AQ16))</f>
        <v>0.54153553632310514</v>
      </c>
      <c r="AN16" s="15">
        <v>2</v>
      </c>
      <c r="AO16" s="6">
        <f>SUM(Z16:AB16,AD16,AF16)</f>
        <v>744</v>
      </c>
      <c r="AP16" s="86">
        <v>165190</v>
      </c>
      <c r="AQ16" s="8">
        <v>410</v>
      </c>
      <c r="AS16" s="16" t="s">
        <v>42</v>
      </c>
      <c r="AT16" s="17">
        <v>5</v>
      </c>
      <c r="AU16" s="8">
        <v>720</v>
      </c>
      <c r="AV16" s="8">
        <v>720</v>
      </c>
      <c r="AW16" s="8">
        <v>0</v>
      </c>
      <c r="AX16" s="8">
        <v>0</v>
      </c>
      <c r="AY16" s="6">
        <f>(AX16/$AT$4)</f>
        <v>0</v>
      </c>
      <c r="AZ16" s="8">
        <v>0</v>
      </c>
      <c r="BA16" s="6">
        <f>(AZ16/$AT$4)</f>
        <v>0</v>
      </c>
      <c r="BB16" s="6">
        <v>0</v>
      </c>
      <c r="BC16" s="6">
        <f>(BB16/$AT$4)</f>
        <v>0</v>
      </c>
      <c r="BD16" s="8">
        <v>220.25</v>
      </c>
      <c r="BE16" s="69">
        <f>(AU16/$AT$4)</f>
        <v>1</v>
      </c>
      <c r="BF16" s="69">
        <f>((AU16-BD16)/$AT$4)</f>
        <v>0.69409722222222225</v>
      </c>
      <c r="BG16" s="149">
        <f>IF((AND(AV16=0,AX16=0)),0,(AX16+BD16)/(AV16+AX16+BD16))</f>
        <v>0.23424621111406541</v>
      </c>
      <c r="BH16" s="149">
        <f>BD16/$AT$4</f>
        <v>0.3059027777777778</v>
      </c>
      <c r="BI16" s="69">
        <f>(BL16/($AT$4*BM16))</f>
        <v>0.62645663956639563</v>
      </c>
      <c r="BJ16" s="6"/>
      <c r="BK16" s="6">
        <f>SUM(AV16:AX16,AZ16,BB16)</f>
        <v>720</v>
      </c>
      <c r="BL16" s="86">
        <v>184930</v>
      </c>
      <c r="BM16" s="8">
        <v>410</v>
      </c>
      <c r="BO16" s="16" t="s">
        <v>42</v>
      </c>
      <c r="BP16" s="17">
        <v>5</v>
      </c>
      <c r="BQ16" s="8">
        <v>650.33000000000004</v>
      </c>
      <c r="BR16" s="8">
        <v>650.33000000000004</v>
      </c>
      <c r="BS16" s="8">
        <v>0</v>
      </c>
      <c r="BT16" s="8">
        <v>93.67</v>
      </c>
      <c r="BU16" s="69">
        <f>(BT16/$BP$4)</f>
        <v>0.12590053763440862</v>
      </c>
      <c r="BV16" s="8">
        <v>0</v>
      </c>
      <c r="BW16" s="69">
        <f>(BV16/$BP$4)</f>
        <v>0</v>
      </c>
      <c r="BX16" s="6">
        <v>0</v>
      </c>
      <c r="BY16" s="69">
        <f>(BX16/$BP$4)</f>
        <v>0</v>
      </c>
      <c r="BZ16" s="8">
        <v>256</v>
      </c>
      <c r="CA16" s="69">
        <f>(BQ16/$BP$4)</f>
        <v>0.87409946236559144</v>
      </c>
      <c r="CB16" s="69">
        <f>((BQ16-BZ16)/$BP$4)</f>
        <v>0.53001344086021507</v>
      </c>
      <c r="CC16" s="149">
        <f>IF((AND(BR16=0,BT16=0)),0,(BT16+BZ16)/(BR16+BT16+BZ16))</f>
        <v>0.34967000000000004</v>
      </c>
      <c r="CD16" s="149">
        <f>BZ16/$BP$4</f>
        <v>0.34408602150537637</v>
      </c>
      <c r="CE16" s="69">
        <f>(CH16/($BP$4*CI16))</f>
        <v>0.49691843692630477</v>
      </c>
      <c r="CF16" s="69"/>
      <c r="CG16" s="42">
        <f>SUM(BR16:BT16,BV16,BX16)</f>
        <v>744</v>
      </c>
      <c r="CH16" s="86">
        <v>151580</v>
      </c>
      <c r="CI16" s="8">
        <v>410</v>
      </c>
      <c r="CK16" s="16" t="s">
        <v>42</v>
      </c>
      <c r="CL16" s="17">
        <v>5</v>
      </c>
      <c r="CM16" s="8">
        <v>720</v>
      </c>
      <c r="CN16" s="8">
        <v>720</v>
      </c>
      <c r="CO16" s="8">
        <v>0</v>
      </c>
      <c r="CP16" s="8">
        <v>0</v>
      </c>
      <c r="CQ16" s="6">
        <f>(CP16/$CL$4)</f>
        <v>0</v>
      </c>
      <c r="CR16" s="8">
        <v>0</v>
      </c>
      <c r="CS16" s="6">
        <f>(CR16/$CL$4)</f>
        <v>0</v>
      </c>
      <c r="CT16" s="6">
        <v>0</v>
      </c>
      <c r="CU16" s="6">
        <f>(CT16/$CL$4)</f>
        <v>0</v>
      </c>
      <c r="CV16" s="8">
        <v>261</v>
      </c>
      <c r="CW16" s="69">
        <f>(CM16/$CL$4)</f>
        <v>1</v>
      </c>
      <c r="CX16" s="69">
        <f>((CM16-CV16)/$CL$4)</f>
        <v>0.63749999999999996</v>
      </c>
      <c r="CY16" s="149">
        <f>IF((AND(CN16=0,CP16=0)),0,(CP16+CV16)/(CN16+CP16+CV16))</f>
        <v>0.26605504587155965</v>
      </c>
      <c r="CZ16" s="149">
        <f>CV16/$CL$4</f>
        <v>0.36249999999999999</v>
      </c>
      <c r="DA16" s="69">
        <f>(DD16/($CL$4*DE16))</f>
        <v>0.5541666666666667</v>
      </c>
      <c r="DB16" s="6"/>
      <c r="DC16" s="6">
        <f>SUM(CN16:CP16,CR16,CT16)</f>
        <v>720</v>
      </c>
      <c r="DD16" s="86">
        <v>163590</v>
      </c>
      <c r="DE16" s="8">
        <v>410</v>
      </c>
      <c r="DG16" s="16" t="s">
        <v>42</v>
      </c>
      <c r="DH16" s="17">
        <v>5</v>
      </c>
      <c r="DI16" s="8">
        <v>637.9</v>
      </c>
      <c r="DJ16" s="8">
        <v>637.9</v>
      </c>
      <c r="DK16" s="8">
        <v>0</v>
      </c>
      <c r="DL16" s="8">
        <v>106.1</v>
      </c>
      <c r="DM16" s="69">
        <f>(DL16/$DH$4)</f>
        <v>0.14260752688172043</v>
      </c>
      <c r="DN16" s="8">
        <v>0</v>
      </c>
      <c r="DO16" s="69">
        <f>(DN16/$DH$4)</f>
        <v>0</v>
      </c>
      <c r="DP16" s="6">
        <v>0</v>
      </c>
      <c r="DQ16" s="69">
        <f>(DP16/$DH$4)</f>
        <v>0</v>
      </c>
      <c r="DR16" s="8">
        <v>323.64999999999998</v>
      </c>
      <c r="DS16" s="69">
        <f>(DI16/$X$4)</f>
        <v>0.85739247311827949</v>
      </c>
      <c r="DT16" s="69">
        <f>((DI16-DR16)/$DH$4)</f>
        <v>0.4223790322580645</v>
      </c>
      <c r="DU16" s="149">
        <f>IF((AND(DJ16=0,DL16=0)),0,(DL16+DR16)/(DJ16+DL16+DR16))</f>
        <v>0.40251955228773473</v>
      </c>
      <c r="DV16" s="149">
        <f>DR16/$DH$4</f>
        <v>0.43501344086021504</v>
      </c>
      <c r="DW16" s="69">
        <f>(DZ16/($DH$4*EA16))</f>
        <v>0.39909520062942566</v>
      </c>
      <c r="DX16" s="69"/>
      <c r="DY16" s="6">
        <f>SUM(DJ16:DL16,DN16,DP16)</f>
        <v>744</v>
      </c>
      <c r="DZ16" s="86">
        <v>121740</v>
      </c>
      <c r="EA16" s="8">
        <v>410</v>
      </c>
      <c r="EC16" s="16" t="s">
        <v>42</v>
      </c>
      <c r="ED16" s="17">
        <v>5</v>
      </c>
      <c r="EE16" s="8">
        <v>696.08</v>
      </c>
      <c r="EF16" s="8">
        <v>696.08</v>
      </c>
      <c r="EG16" s="8">
        <v>0</v>
      </c>
      <c r="EH16" s="8">
        <v>47.92</v>
      </c>
      <c r="EI16" s="6">
        <f>(EH16/$ED$4)</f>
        <v>6.4408602150537633E-2</v>
      </c>
      <c r="EJ16" s="8">
        <v>0</v>
      </c>
      <c r="EK16" s="6">
        <f>(EJ16/$ED$4)</f>
        <v>0</v>
      </c>
      <c r="EL16" s="6">
        <v>0</v>
      </c>
      <c r="EM16" s="6">
        <f>(EL16/$ED$4)</f>
        <v>0</v>
      </c>
      <c r="EN16" s="8">
        <v>395.01</v>
      </c>
      <c r="EO16" s="69">
        <f>(EE16/$X$4)</f>
        <v>0.93559139784946244</v>
      </c>
      <c r="EP16" s="69">
        <f>((EE16-EN16)/$ED$4)</f>
        <v>0.40466397849462371</v>
      </c>
      <c r="EQ16" s="149">
        <f>IF((AND(EF16=0,EH16=0)),0,(EH16+EN16)/(EF16+EH16+EN16))</f>
        <v>0.38887279303956945</v>
      </c>
      <c r="ER16" s="149">
        <f>EN16/$ED$4</f>
        <v>0.53092741935483867</v>
      </c>
      <c r="ES16" s="69">
        <f>(EV16/($ED$4*EW16))</f>
        <v>0.46380802517702596</v>
      </c>
      <c r="ET16" s="6"/>
      <c r="EU16" s="6">
        <f>SUM(EF16:EH16,EJ16,EL16)</f>
        <v>744</v>
      </c>
      <c r="EV16" s="86">
        <v>141480</v>
      </c>
      <c r="EW16" s="8">
        <v>410</v>
      </c>
      <c r="EY16" s="16" t="s">
        <v>42</v>
      </c>
      <c r="EZ16" s="17">
        <v>5</v>
      </c>
      <c r="FA16" s="8">
        <v>646.73</v>
      </c>
      <c r="FB16" s="8">
        <v>646.73</v>
      </c>
      <c r="FC16" s="8">
        <v>0</v>
      </c>
      <c r="FD16" s="8">
        <v>0</v>
      </c>
      <c r="FE16" s="6">
        <f>(FD16/$EZ$4)</f>
        <v>0</v>
      </c>
      <c r="FF16" s="8">
        <v>25.27</v>
      </c>
      <c r="FG16" s="6">
        <f>(FF16/$EZ$4)</f>
        <v>3.7604166666666668E-2</v>
      </c>
      <c r="FH16" s="6">
        <v>0</v>
      </c>
      <c r="FI16" s="6">
        <f>(FH16/$EZ$4)</f>
        <v>0</v>
      </c>
      <c r="FJ16" s="8">
        <v>294.86</v>
      </c>
      <c r="FK16" s="69">
        <f>(FA16/$X$4)</f>
        <v>0.86926075268817204</v>
      </c>
      <c r="FL16" s="69">
        <f>((FA16-FJ16)/$EZ$4)</f>
        <v>0.52361607142857147</v>
      </c>
      <c r="FM16" s="149">
        <f>IF((AND(FB16=0,FD16=0)),0,(FD16+FJ16)/(FB16+FD16+FJ16))</f>
        <v>0.31315115920942238</v>
      </c>
      <c r="FN16" s="149">
        <f>FJ16/$EZ$4</f>
        <v>0.43877976190476192</v>
      </c>
      <c r="FO16" s="69">
        <f>(FR16/($EZ$4*FS16))</f>
        <v>0.45056620209059234</v>
      </c>
      <c r="FP16" s="6"/>
      <c r="FQ16" s="6">
        <f>SUM(FB16:FD16,FF16,FH16)</f>
        <v>672</v>
      </c>
      <c r="FR16" s="86">
        <v>124140</v>
      </c>
      <c r="FS16" s="8">
        <v>410</v>
      </c>
      <c r="FU16" s="16" t="s">
        <v>42</v>
      </c>
      <c r="FV16" s="17">
        <v>5</v>
      </c>
      <c r="FW16" s="8">
        <v>0</v>
      </c>
      <c r="FX16" s="8">
        <v>0</v>
      </c>
      <c r="FY16" s="8">
        <v>0</v>
      </c>
      <c r="FZ16" s="8">
        <v>0</v>
      </c>
      <c r="GA16" s="69">
        <f>(FZ16/FV4)</f>
        <v>0</v>
      </c>
      <c r="GB16" s="8">
        <v>744</v>
      </c>
      <c r="GC16" s="69">
        <f>(GB16/$FV$4)</f>
        <v>1</v>
      </c>
      <c r="GD16" s="6">
        <v>0</v>
      </c>
      <c r="GE16" s="69">
        <f>(GD16/$FV$4)</f>
        <v>0</v>
      </c>
      <c r="GF16" s="8">
        <v>0</v>
      </c>
      <c r="GG16" s="69">
        <f>(FW16/$X$4)</f>
        <v>0</v>
      </c>
      <c r="GH16" s="69">
        <f>((FW16-GF16)/$FV$4)</f>
        <v>0</v>
      </c>
      <c r="GI16" s="149">
        <f>IF((AND(FX16=0,FZ16=0)),0,(FZ16+GF16)/(FX16+FZ16+GF16))</f>
        <v>0</v>
      </c>
      <c r="GJ16" s="149">
        <f>GF16/$FV$4</f>
        <v>0</v>
      </c>
      <c r="GK16" s="69">
        <f>(GN16/($FV$4*GO16))</f>
        <v>0</v>
      </c>
      <c r="GL16" s="69"/>
      <c r="GM16" s="6">
        <f>SUM(FX16:FZ16,GB16,GD16)</f>
        <v>744</v>
      </c>
      <c r="GN16" s="8">
        <v>0</v>
      </c>
      <c r="GO16" s="8">
        <v>410</v>
      </c>
      <c r="GQ16" s="16" t="s">
        <v>42</v>
      </c>
      <c r="GR16" s="17">
        <v>5</v>
      </c>
      <c r="GS16" s="8">
        <v>0</v>
      </c>
      <c r="GT16" s="8">
        <v>0</v>
      </c>
      <c r="GU16" s="8">
        <v>0</v>
      </c>
      <c r="GV16" s="8">
        <v>0</v>
      </c>
      <c r="GW16" s="6">
        <f>(GV16/$GR$4)</f>
        <v>0</v>
      </c>
      <c r="GX16" s="8">
        <v>720</v>
      </c>
      <c r="GY16" s="6">
        <f>(GX16/$GR$4)</f>
        <v>1</v>
      </c>
      <c r="GZ16" s="6">
        <v>0</v>
      </c>
      <c r="HA16" s="6">
        <f>(GZ16/$GR$4)</f>
        <v>0</v>
      </c>
      <c r="HB16" s="8">
        <v>0</v>
      </c>
      <c r="HC16" s="69">
        <f>(GS16/$X$4)</f>
        <v>0</v>
      </c>
      <c r="HD16" s="69">
        <f>((GS16-HB16)/$GR$4)</f>
        <v>0</v>
      </c>
      <c r="HE16" s="149">
        <f>IF((AND(GT16=0,GV16=0)),0,(GV16+HB16)/(GT16+GV16))</f>
        <v>0</v>
      </c>
      <c r="HF16" s="149">
        <f>HB16/$GR$4</f>
        <v>0</v>
      </c>
      <c r="HG16" s="69">
        <f>(HJ16/($GR$4*HK16))</f>
        <v>0</v>
      </c>
      <c r="HH16" s="15">
        <v>0</v>
      </c>
      <c r="HI16" s="6">
        <f>SUM(GT16:GV16,GX16,GZ16)</f>
        <v>720</v>
      </c>
      <c r="HJ16" s="8">
        <v>0</v>
      </c>
      <c r="HK16" s="8">
        <v>410</v>
      </c>
      <c r="HM16" s="16" t="s">
        <v>42</v>
      </c>
      <c r="HN16" s="17">
        <v>5</v>
      </c>
      <c r="HO16" s="8">
        <v>650.6</v>
      </c>
      <c r="HP16" s="8">
        <v>650.6</v>
      </c>
      <c r="HQ16" s="8">
        <v>0</v>
      </c>
      <c r="HR16" s="8">
        <v>74.77</v>
      </c>
      <c r="HS16" s="6">
        <f>(HR16/$HN$4)</f>
        <v>0.10049731182795699</v>
      </c>
      <c r="HT16" s="8">
        <v>18.63</v>
      </c>
      <c r="HU16" s="6">
        <f>(HT16/$HN$4)</f>
        <v>2.5040322580645161E-2</v>
      </c>
      <c r="HV16" s="6">
        <v>0</v>
      </c>
      <c r="HW16" s="6">
        <f>(HV16/$HN$4)</f>
        <v>0</v>
      </c>
      <c r="HX16" s="8">
        <v>77.87</v>
      </c>
      <c r="HY16" s="69">
        <f>(HO16/$HN$4)</f>
        <v>0.87446236559139789</v>
      </c>
      <c r="HZ16" s="69">
        <f>((HO16-HX16)/$HN$4)</f>
        <v>0.76979838709677417</v>
      </c>
      <c r="IA16" s="69">
        <f>IF((AND(HP16=0,HR16=0)),0,(HR16+HX16)/(HP16+HR16+HX16))</f>
        <v>0.19003037697325828</v>
      </c>
      <c r="IB16" s="149">
        <f>HX16/$HN$4</f>
        <v>0.10466397849462367</v>
      </c>
      <c r="IC16" s="69">
        <f>(IF16/($HN$4*IG16))</f>
        <v>0.53881458169420404</v>
      </c>
      <c r="ID16" s="15">
        <v>2</v>
      </c>
      <c r="IE16" s="6">
        <f>SUM(HP16:HR16,HT16,HV16)</f>
        <v>744</v>
      </c>
      <c r="IF16" s="86">
        <v>164360</v>
      </c>
      <c r="IG16" s="8">
        <v>410</v>
      </c>
      <c r="II16" s="16" t="s">
        <v>42</v>
      </c>
      <c r="IJ16" s="17">
        <v>5</v>
      </c>
      <c r="IK16" s="52">
        <v>720</v>
      </c>
      <c r="IL16" s="52">
        <v>720</v>
      </c>
      <c r="IM16" s="54">
        <v>0</v>
      </c>
      <c r="IN16" s="52">
        <v>0</v>
      </c>
      <c r="IO16" s="69">
        <f>(IN16/$IJ$4)</f>
        <v>0</v>
      </c>
      <c r="IP16" s="8">
        <v>0</v>
      </c>
      <c r="IQ16" s="69">
        <f>(IP16/$IJ$4)</f>
        <v>0</v>
      </c>
      <c r="IR16" s="8">
        <v>0</v>
      </c>
      <c r="IS16" s="69">
        <f>(IR16/$IJ$4)</f>
        <v>0</v>
      </c>
      <c r="IT16" s="52">
        <v>173.59</v>
      </c>
      <c r="IU16" s="69">
        <f>(IK16/$IJ$4)</f>
        <v>1</v>
      </c>
      <c r="IV16" s="164">
        <f>((IK16-IT16)/$IJ$4)</f>
        <v>0.7589027777777777</v>
      </c>
      <c r="IW16" s="164">
        <f>IF((AND(IL16=0,IN16=0)),0,(IN16+IT16)/(IL16+IN16))</f>
        <v>0.24109722222222224</v>
      </c>
      <c r="IX16" s="149">
        <f>IT16/$IJ$4</f>
        <v>0.24109722222222224</v>
      </c>
      <c r="IY16" s="69">
        <f>(JB16/($IJ$4*JC16))</f>
        <v>0.66537940379403793</v>
      </c>
      <c r="IZ16" s="15">
        <v>0</v>
      </c>
      <c r="JA16" s="15">
        <f>SUM(IL16:IN16,IP16,IR16)</f>
        <v>720</v>
      </c>
      <c r="JB16" s="103">
        <v>196420</v>
      </c>
      <c r="JC16" s="8">
        <v>410</v>
      </c>
    </row>
    <row r="17" spans="1:264" ht="15" x14ac:dyDescent="0.25">
      <c r="A17" s="16" t="s">
        <v>43</v>
      </c>
      <c r="B17" s="17">
        <v>6</v>
      </c>
      <c r="C17" s="8">
        <v>744</v>
      </c>
      <c r="D17" s="8">
        <v>744</v>
      </c>
      <c r="E17" s="8">
        <v>0</v>
      </c>
      <c r="F17" s="8">
        <v>0</v>
      </c>
      <c r="G17" s="6">
        <f>(F17/$B$4)</f>
        <v>0</v>
      </c>
      <c r="H17" s="8">
        <v>0</v>
      </c>
      <c r="I17" s="6">
        <f>(H17/$B$4)</f>
        <v>0</v>
      </c>
      <c r="J17" s="6">
        <v>0</v>
      </c>
      <c r="K17" s="6">
        <f>(J17/$B$4)</f>
        <v>0</v>
      </c>
      <c r="L17" s="8">
        <v>66.72</v>
      </c>
      <c r="M17" s="69">
        <f>(C17/$B$4)</f>
        <v>1</v>
      </c>
      <c r="N17" s="69">
        <f>((C17-L17)/$B$4)</f>
        <v>0.91032258064516125</v>
      </c>
      <c r="O17" s="149">
        <f>IF((AND(D17=0,F17=0)),0,(F17+L17)/(D17+F17+L17))</f>
        <v>8.2297217288336291E-2</v>
      </c>
      <c r="P17" s="149">
        <f>L17/$B$4</f>
        <v>8.9677419354838708E-2</v>
      </c>
      <c r="Q17" s="69">
        <f>(T17/($B$4*U17))</f>
        <v>0.69984264358772619</v>
      </c>
      <c r="R17" s="15">
        <v>0</v>
      </c>
      <c r="S17" s="6">
        <f t="shared" ref="S17" si="180">SUM(D17:F17,H17,J17)</f>
        <v>744</v>
      </c>
      <c r="T17" s="86">
        <v>213480</v>
      </c>
      <c r="U17" s="8">
        <v>410</v>
      </c>
      <c r="W17" s="16" t="s">
        <v>43</v>
      </c>
      <c r="X17" s="17">
        <v>6</v>
      </c>
      <c r="Y17" s="8">
        <f>$X$4-AB17-AD17</f>
        <v>602.33000000000004</v>
      </c>
      <c r="Z17" s="8">
        <v>602.33000000000004</v>
      </c>
      <c r="AA17" s="8">
        <v>0</v>
      </c>
      <c r="AB17" s="8">
        <v>141.66999999999999</v>
      </c>
      <c r="AC17" s="6">
        <f>(AB17/$X$4)</f>
        <v>0.19041666666666665</v>
      </c>
      <c r="AD17" s="8">
        <v>0</v>
      </c>
      <c r="AE17" s="6">
        <f>(AD17/$X$4)</f>
        <v>0</v>
      </c>
      <c r="AF17" s="6">
        <v>0</v>
      </c>
      <c r="AG17" s="6">
        <f>(AF17/$X$4)</f>
        <v>0</v>
      </c>
      <c r="AH17" s="8">
        <v>75</v>
      </c>
      <c r="AI17" s="69">
        <f>(Y17/$X$4)</f>
        <v>0.80958333333333343</v>
      </c>
      <c r="AJ17" s="69">
        <f>((Y17-AH17)/$X$4)</f>
        <v>0.70877688172043019</v>
      </c>
      <c r="AK17" s="149">
        <f>IF((AND(Z17=0,AB17=0)),0,(AB17+AH17)/(Z17+AB17+AH17))</f>
        <v>0.26455433455433452</v>
      </c>
      <c r="AL17" s="149">
        <f>AH17/$X$4</f>
        <v>0.10080645161290322</v>
      </c>
      <c r="AM17" s="69">
        <f>(AP17/($X$4*AQ17))</f>
        <v>0.51799763965381584</v>
      </c>
      <c r="AN17" s="15">
        <v>2</v>
      </c>
      <c r="AO17" s="6">
        <f t="shared" ref="AO17" si="181">SUM(Z17:AB17,AD17,AF17)</f>
        <v>744</v>
      </c>
      <c r="AP17" s="86">
        <v>158010</v>
      </c>
      <c r="AQ17" s="8">
        <v>410</v>
      </c>
      <c r="AS17" s="16" t="s">
        <v>43</v>
      </c>
      <c r="AT17" s="17">
        <v>6</v>
      </c>
      <c r="AU17" s="8">
        <v>720</v>
      </c>
      <c r="AV17" s="8">
        <v>720</v>
      </c>
      <c r="AW17" s="8">
        <v>0</v>
      </c>
      <c r="AX17" s="8">
        <v>0</v>
      </c>
      <c r="AY17" s="6">
        <f>(AX17/$AT$4)</f>
        <v>0</v>
      </c>
      <c r="AZ17" s="8">
        <v>0</v>
      </c>
      <c r="BA17" s="6">
        <f>(AZ17/$AT$4)</f>
        <v>0</v>
      </c>
      <c r="BB17" s="6">
        <v>0</v>
      </c>
      <c r="BC17" s="6">
        <f>(BB17/$AT$4)</f>
        <v>0</v>
      </c>
      <c r="BD17" s="8">
        <v>69.22</v>
      </c>
      <c r="BE17" s="69">
        <f>(AU17/$AT$4)</f>
        <v>1</v>
      </c>
      <c r="BF17" s="69">
        <f>((AU17-BD17)/$AT$4)</f>
        <v>0.90386111111111112</v>
      </c>
      <c r="BG17" s="149">
        <f>IF((AND(AV17=0,AX17=0)),0,(AX17+BD17)/(AV17+AX17+BD17))</f>
        <v>8.7706849801069409E-2</v>
      </c>
      <c r="BH17" s="149">
        <f t="shared" ref="BH17" si="182">BD17/$AT$4</f>
        <v>9.6138888888888885E-2</v>
      </c>
      <c r="BI17" s="69">
        <f t="shared" ref="BI17" si="183">(BL17/($AT$4*BM17))</f>
        <v>0.68441734417344169</v>
      </c>
      <c r="BJ17" s="6"/>
      <c r="BK17" s="6">
        <f t="shared" ref="BK17" si="184">SUM(AV17:AX17,AZ17,BB17)</f>
        <v>720</v>
      </c>
      <c r="BL17" s="86">
        <v>202040</v>
      </c>
      <c r="BM17" s="8">
        <v>410</v>
      </c>
      <c r="BO17" s="16" t="s">
        <v>43</v>
      </c>
      <c r="BP17" s="17">
        <v>6</v>
      </c>
      <c r="BQ17" s="8">
        <v>744</v>
      </c>
      <c r="BR17" s="8">
        <v>744</v>
      </c>
      <c r="BS17" s="8">
        <v>0</v>
      </c>
      <c r="BT17" s="8">
        <v>0</v>
      </c>
      <c r="BU17" s="69">
        <f>(BT17/$BP$4)</f>
        <v>0</v>
      </c>
      <c r="BV17" s="8">
        <v>0</v>
      </c>
      <c r="BW17" s="69">
        <f>(BV17/$BP$4)</f>
        <v>0</v>
      </c>
      <c r="BX17" s="6">
        <v>0</v>
      </c>
      <c r="BY17" s="69">
        <f>(BX17/$BP$4)</f>
        <v>0</v>
      </c>
      <c r="BZ17" s="8">
        <v>77</v>
      </c>
      <c r="CA17" s="69">
        <f t="shared" ref="CA17" si="185">(BQ17/$BP$4)</f>
        <v>1</v>
      </c>
      <c r="CB17" s="69">
        <f t="shared" ref="CB17" si="186">((BQ17-BZ17)/$BP$4)</f>
        <v>0.896505376344086</v>
      </c>
      <c r="CC17" s="149">
        <f t="shared" ref="CC17" si="187">IF((AND(BR17=0,BT17=0)),0,(BT17+BZ17)/(BR17+BT17+BZ17))</f>
        <v>9.3788063337393424E-2</v>
      </c>
      <c r="CD17" s="149">
        <f t="shared" ref="CD17" si="188">BZ17/$BP$4</f>
        <v>0.10349462365591398</v>
      </c>
      <c r="CE17" s="69">
        <f t="shared" ref="CE17" si="189">(CH17/($BP$4*CI17))</f>
        <v>0.70069499082087594</v>
      </c>
      <c r="CF17" s="69"/>
      <c r="CG17" s="42">
        <f t="shared" ref="CG17" si="190">SUM(BR17:BT17,BV17,BX17)</f>
        <v>744</v>
      </c>
      <c r="CH17" s="86">
        <v>213740</v>
      </c>
      <c r="CI17" s="8">
        <v>410</v>
      </c>
      <c r="CK17" s="16" t="s">
        <v>43</v>
      </c>
      <c r="CL17" s="17">
        <v>6</v>
      </c>
      <c r="CM17" s="8">
        <v>720</v>
      </c>
      <c r="CN17" s="8">
        <v>720</v>
      </c>
      <c r="CO17" s="8">
        <v>0</v>
      </c>
      <c r="CP17" s="8">
        <v>0</v>
      </c>
      <c r="CQ17" s="6">
        <f>(CP17/$CL$4)</f>
        <v>0</v>
      </c>
      <c r="CR17" s="8">
        <v>0</v>
      </c>
      <c r="CS17" s="6">
        <f>(CR17/$CL$4)</f>
        <v>0</v>
      </c>
      <c r="CT17" s="6">
        <v>0</v>
      </c>
      <c r="CU17" s="6">
        <f>(CT17/$CL$4)</f>
        <v>0</v>
      </c>
      <c r="CV17" s="8">
        <v>116</v>
      </c>
      <c r="CW17" s="69">
        <f t="shared" ref="CW17" si="191">(CM17/$CL$4)</f>
        <v>1</v>
      </c>
      <c r="CX17" s="69">
        <f t="shared" ref="CX17" si="192">((CM17-CV17)/$CL$4)</f>
        <v>0.83888888888888891</v>
      </c>
      <c r="CY17" s="149">
        <f t="shared" ref="CY17" si="193">IF((AND(CN17=0,CP17=0)),0,(CP17+CV17)/(CN17+CP17+CV17))</f>
        <v>0.13875598086124402</v>
      </c>
      <c r="CZ17" s="149">
        <f t="shared" ref="CZ17" si="194">CV17/$CL$4</f>
        <v>0.16111111111111112</v>
      </c>
      <c r="DA17" s="69">
        <f t="shared" ref="DA17" si="195">(DD17/($CL$4*DE17))</f>
        <v>0.63296070460704612</v>
      </c>
      <c r="DB17" s="6"/>
      <c r="DC17" s="6">
        <f t="shared" ref="DC17" si="196">SUM(CN17:CP17,CR17,CT17)</f>
        <v>720</v>
      </c>
      <c r="DD17" s="86">
        <v>186850</v>
      </c>
      <c r="DE17" s="8">
        <v>410</v>
      </c>
      <c r="DG17" s="16" t="s">
        <v>43</v>
      </c>
      <c r="DH17" s="17">
        <v>6</v>
      </c>
      <c r="DI17" s="8">
        <v>705.51</v>
      </c>
      <c r="DJ17" s="8">
        <v>705.51</v>
      </c>
      <c r="DK17" s="8">
        <v>0</v>
      </c>
      <c r="DL17" s="8">
        <v>38.49</v>
      </c>
      <c r="DM17" s="69">
        <f>(DL17/$DH$4)</f>
        <v>5.1733870967741936E-2</v>
      </c>
      <c r="DN17" s="8">
        <v>0</v>
      </c>
      <c r="DO17" s="69">
        <f>(DN17/$DH$4)</f>
        <v>0</v>
      </c>
      <c r="DP17" s="6">
        <v>0</v>
      </c>
      <c r="DQ17" s="69">
        <f>(DP17/$DH$4)</f>
        <v>0</v>
      </c>
      <c r="DR17" s="8">
        <v>69.61</v>
      </c>
      <c r="DS17" s="69">
        <f t="shared" ref="DS17" si="197">(DI17/$X$4)</f>
        <v>0.94826612903225804</v>
      </c>
      <c r="DT17" s="69">
        <f t="shared" ref="DT17" si="198">((DI17-DR17)/$DH$4)</f>
        <v>0.85470430107526874</v>
      </c>
      <c r="DU17" s="149">
        <f t="shared" ref="DU17" si="199">IF((AND(DJ17=0,DL17=0)),0,(DL17+DR17)/(DJ17+DL17+DR17))</f>
        <v>0.13286464030678088</v>
      </c>
      <c r="DV17" s="149">
        <f t="shared" ref="DV17" si="200">DR17/$DH$4</f>
        <v>9.3561827956989252E-2</v>
      </c>
      <c r="DW17" s="69">
        <f t="shared" ref="DW17" si="201">(DZ17/($DH$4*EA17))</f>
        <v>0.61686991869918695</v>
      </c>
      <c r="DX17" s="69"/>
      <c r="DY17" s="6">
        <f t="shared" ref="DY17" si="202">SUM(DJ17:DL17,DN17,DP17)</f>
        <v>744</v>
      </c>
      <c r="DZ17" s="86">
        <v>188170</v>
      </c>
      <c r="EA17" s="8">
        <v>410</v>
      </c>
      <c r="EC17" s="16" t="s">
        <v>43</v>
      </c>
      <c r="ED17" s="17">
        <v>6</v>
      </c>
      <c r="EE17" s="8">
        <v>720.37</v>
      </c>
      <c r="EF17" s="8">
        <v>720.37</v>
      </c>
      <c r="EG17" s="8">
        <v>0</v>
      </c>
      <c r="EH17" s="8">
        <v>23.63</v>
      </c>
      <c r="EI17" s="6">
        <f>(EH17/$ED$4)</f>
        <v>3.1760752688172043E-2</v>
      </c>
      <c r="EJ17" s="8">
        <v>0</v>
      </c>
      <c r="EK17" s="6">
        <f>(EJ17/$ED$4)</f>
        <v>0</v>
      </c>
      <c r="EL17" s="6">
        <v>0</v>
      </c>
      <c r="EM17" s="6">
        <f>(EL17/$ED$4)</f>
        <v>0</v>
      </c>
      <c r="EN17" s="8">
        <v>633.78</v>
      </c>
      <c r="EO17" s="69">
        <f>(EE17/$X$4)</f>
        <v>0.96823924731182798</v>
      </c>
      <c r="EP17" s="69">
        <f>((EE17-EN17)/$ED$4)</f>
        <v>0.11638440860215057</v>
      </c>
      <c r="EQ17" s="149">
        <f>IF((AND(EF17=0,EH17=0)),0,(EH17+EN17)/(EF17+EH17+EN17))</f>
        <v>0.47715164975540358</v>
      </c>
      <c r="ER17" s="149">
        <f>EN17/$ED$4</f>
        <v>0.85185483870967738</v>
      </c>
      <c r="ES17" s="69">
        <f>(EV17/($ED$4*EW17))</f>
        <v>0.63014686598478886</v>
      </c>
      <c r="ET17" s="6"/>
      <c r="EU17" s="6">
        <f t="shared" ref="EU17" si="203">SUM(EF17:EH17,EJ17,EL17)</f>
        <v>744</v>
      </c>
      <c r="EV17" s="86">
        <v>192220</v>
      </c>
      <c r="EW17" s="8">
        <v>410</v>
      </c>
      <c r="EY17" s="16" t="s">
        <v>43</v>
      </c>
      <c r="EZ17" s="17">
        <v>6</v>
      </c>
      <c r="FA17" s="8">
        <v>664.83</v>
      </c>
      <c r="FB17" s="8">
        <v>664.83</v>
      </c>
      <c r="FC17" s="8">
        <v>0</v>
      </c>
      <c r="FD17" s="8">
        <v>7.17</v>
      </c>
      <c r="FE17" s="6">
        <f>(FD17/$EZ$4)</f>
        <v>1.0669642857142857E-2</v>
      </c>
      <c r="FF17" s="8">
        <v>0</v>
      </c>
      <c r="FG17" s="6">
        <f>(FF17/$EZ$4)</f>
        <v>0</v>
      </c>
      <c r="FH17" s="6">
        <v>0</v>
      </c>
      <c r="FI17" s="6">
        <f>(FH17/$EZ$4)</f>
        <v>0</v>
      </c>
      <c r="FJ17" s="8">
        <v>64.849999999999994</v>
      </c>
      <c r="FK17" s="69">
        <f>(FA17/$X$4)</f>
        <v>0.89358870967741943</v>
      </c>
      <c r="FL17" s="69">
        <f>((FA17-FJ17)/$EZ$4)</f>
        <v>0.89282738095238101</v>
      </c>
      <c r="FM17" s="149">
        <f>IF((AND(FB17=0,FD17=0)),0,(FD17+FJ17)/(FB17+FD17+FJ17))</f>
        <v>9.7740381353056918E-2</v>
      </c>
      <c r="FN17" s="149">
        <f>FJ17/$EZ$4</f>
        <v>9.6502976190476181E-2</v>
      </c>
      <c r="FO17" s="69">
        <f>(FR17/($EZ$4*FS17))</f>
        <v>0.63806620209059228</v>
      </c>
      <c r="FP17" s="6"/>
      <c r="FQ17" s="6">
        <f t="shared" ref="FQ17" si="204">SUM(FB17:FD17,FF17,FH17)</f>
        <v>672</v>
      </c>
      <c r="FR17" s="86">
        <v>175800</v>
      </c>
      <c r="FS17" s="8">
        <v>410</v>
      </c>
      <c r="FU17" s="16" t="s">
        <v>43</v>
      </c>
      <c r="FV17" s="17">
        <v>6</v>
      </c>
      <c r="FW17" s="8">
        <v>744</v>
      </c>
      <c r="FX17" s="8">
        <v>744</v>
      </c>
      <c r="FY17" s="8">
        <v>0</v>
      </c>
      <c r="FZ17" s="8">
        <v>0</v>
      </c>
      <c r="GA17" s="69">
        <f>(FZ17/FV4)</f>
        <v>0</v>
      </c>
      <c r="GB17" s="8">
        <v>0</v>
      </c>
      <c r="GC17" s="69">
        <f>(GB17/$FV$4)</f>
        <v>0</v>
      </c>
      <c r="GD17" s="6">
        <v>0</v>
      </c>
      <c r="GE17" s="69">
        <f>(GD17/$FV$4)</f>
        <v>0</v>
      </c>
      <c r="GF17" s="8">
        <v>98.46</v>
      </c>
      <c r="GG17" s="69">
        <f>(FW17/$X$4)</f>
        <v>1</v>
      </c>
      <c r="GH17" s="69">
        <f>((FW17-GF17)/$FV$4)</f>
        <v>0.86766129032258055</v>
      </c>
      <c r="GI17" s="149">
        <f>IF((AND(FX17=0,FZ17=0)),0,(FZ17+GF17)/(FX17+FZ17+GF17))</f>
        <v>0.11687201766255964</v>
      </c>
      <c r="GJ17" s="149">
        <f t="shared" ref="GJ17" si="205">GF17/$FV$4</f>
        <v>0.13233870967741934</v>
      </c>
      <c r="GK17" s="69">
        <f>(GN17/($FV$4*GO17))</f>
        <v>0.66204432205612374</v>
      </c>
      <c r="GL17" s="69"/>
      <c r="GM17" s="6">
        <f t="shared" ref="GM17" si="206">SUM(FX17:FZ17,GB17,GD17)</f>
        <v>744</v>
      </c>
      <c r="GN17" s="86">
        <v>201950</v>
      </c>
      <c r="GO17" s="8">
        <v>410</v>
      </c>
      <c r="GQ17" s="16" t="s">
        <v>43</v>
      </c>
      <c r="GR17" s="17">
        <v>6</v>
      </c>
      <c r="GS17" s="8">
        <v>691.77</v>
      </c>
      <c r="GT17" s="8">
        <v>691.77</v>
      </c>
      <c r="GU17" s="8">
        <v>0</v>
      </c>
      <c r="GV17" s="8">
        <v>28.23</v>
      </c>
      <c r="GW17" s="6">
        <f>(GV17/$GR$4)</f>
        <v>3.9208333333333331E-2</v>
      </c>
      <c r="GX17" s="8">
        <v>0</v>
      </c>
      <c r="GY17" s="6">
        <f>(GX17/$GR$4)</f>
        <v>0</v>
      </c>
      <c r="GZ17" s="6">
        <v>0</v>
      </c>
      <c r="HA17" s="6">
        <f>(GZ17/$GR$4)</f>
        <v>0</v>
      </c>
      <c r="HB17" s="8">
        <v>101.23</v>
      </c>
      <c r="HC17" s="69">
        <f>(GS17/$X$4)</f>
        <v>0.9297983870967742</v>
      </c>
      <c r="HD17" s="69">
        <f>((GS17-HB17)/$GR$4)</f>
        <v>0.82019444444444445</v>
      </c>
      <c r="HE17" s="149">
        <f>IF((AND(GT17=0,GV17=0)),0,(GV17+HB17)/(GT17+GV17))</f>
        <v>0.17980555555555558</v>
      </c>
      <c r="HF17" s="149">
        <f t="shared" ref="HF17" si="207">HB17/$GR$4</f>
        <v>0.14059722222222223</v>
      </c>
      <c r="HG17" s="69">
        <f>(HJ17/($GR$4*HK17))</f>
        <v>0.64668021680216803</v>
      </c>
      <c r="HH17" s="15">
        <v>1</v>
      </c>
      <c r="HI17" s="6">
        <f t="shared" ref="HI17" si="208">SUM(GT17:GV17,GX17,GZ17)</f>
        <v>720</v>
      </c>
      <c r="HJ17" s="86">
        <v>190900</v>
      </c>
      <c r="HK17" s="8">
        <v>410</v>
      </c>
      <c r="HM17" s="16" t="s">
        <v>43</v>
      </c>
      <c r="HN17" s="17">
        <v>6</v>
      </c>
      <c r="HO17" s="17">
        <v>744</v>
      </c>
      <c r="HP17" s="17">
        <v>744</v>
      </c>
      <c r="HQ17" s="17">
        <v>0</v>
      </c>
      <c r="HR17" s="17">
        <v>0</v>
      </c>
      <c r="HS17" s="6">
        <f>(HR17/$HN$4)</f>
        <v>0</v>
      </c>
      <c r="HT17" s="17">
        <v>0</v>
      </c>
      <c r="HU17" s="6">
        <f>(HT17/$HN$4)</f>
        <v>0</v>
      </c>
      <c r="HV17" s="8">
        <v>0</v>
      </c>
      <c r="HW17" s="6">
        <f>(HV17/$HN$4)</f>
        <v>0</v>
      </c>
      <c r="HX17" s="17">
        <v>108.88</v>
      </c>
      <c r="HY17" s="69">
        <f>(HO17/$HN$4)</f>
        <v>1</v>
      </c>
      <c r="HZ17" s="69">
        <f>((HO17-HX17)/$HN$4)</f>
        <v>0.85365591397849461</v>
      </c>
      <c r="IA17" s="69">
        <f>IF((AND(HP17=0,HR17=0)),0,(HR17+HX17)/(HP17+HR17+HX17))</f>
        <v>0.12766157020917362</v>
      </c>
      <c r="IB17" s="149">
        <f t="shared" ref="IB17" si="209">HX17/$HN$4</f>
        <v>0.14634408602150537</v>
      </c>
      <c r="IC17" s="69">
        <f>(IF17/($HN$4*IG17))</f>
        <v>0.68197613427747183</v>
      </c>
      <c r="ID17" s="15">
        <v>0</v>
      </c>
      <c r="IE17" s="6">
        <f t="shared" ref="IE17" si="210">SUM(HP17:HR17,HT17,HV17)</f>
        <v>744</v>
      </c>
      <c r="IF17" s="104">
        <v>208030</v>
      </c>
      <c r="IG17" s="8">
        <v>410</v>
      </c>
      <c r="II17" s="16" t="s">
        <v>43</v>
      </c>
      <c r="IJ17" s="17">
        <v>6</v>
      </c>
      <c r="IK17" s="52">
        <v>700.27</v>
      </c>
      <c r="IL17" s="52">
        <v>700.27</v>
      </c>
      <c r="IM17" s="54">
        <v>0</v>
      </c>
      <c r="IN17" s="52">
        <v>19.73</v>
      </c>
      <c r="IO17" s="69">
        <f>(IN17/$IJ$4)</f>
        <v>2.7402777777777779E-2</v>
      </c>
      <c r="IP17" s="8">
        <v>0</v>
      </c>
      <c r="IQ17" s="69">
        <f>(IP17/$IJ$4)</f>
        <v>0</v>
      </c>
      <c r="IR17" s="8">
        <v>0</v>
      </c>
      <c r="IS17" s="69">
        <f>(IR17/$IJ$4)</f>
        <v>0</v>
      </c>
      <c r="IT17" s="52">
        <v>230.86</v>
      </c>
      <c r="IU17" s="69">
        <f>(IK17/$IJ$4)</f>
        <v>0.97259722222222222</v>
      </c>
      <c r="IV17" s="164">
        <f>((IK17-IT17)/$IJ$4)</f>
        <v>0.65195833333333331</v>
      </c>
      <c r="IW17" s="164">
        <f>IF((AND(IL17=0,IN17=0)),0,(IN17+IT17)/(IL17+IN17))</f>
        <v>0.34804166666666669</v>
      </c>
      <c r="IX17" s="149">
        <f t="shared" ref="IX17" si="211">IT17/$IJ$4</f>
        <v>0.32063888888888892</v>
      </c>
      <c r="IY17" s="69">
        <f>(JB17/($IJ$4*JC17))</f>
        <v>0.58272357723577239</v>
      </c>
      <c r="IZ17" s="15">
        <v>1</v>
      </c>
      <c r="JA17" s="15">
        <f t="shared" ref="JA17" si="212">SUM(IL17:IN17,IP17,IR17)</f>
        <v>720</v>
      </c>
      <c r="JB17" s="103">
        <v>172020</v>
      </c>
      <c r="JC17" s="8">
        <v>410</v>
      </c>
      <c r="JD17" s="42"/>
    </row>
    <row r="18" spans="1:264" ht="15" x14ac:dyDescent="0.25">
      <c r="A18" s="16"/>
      <c r="B18" s="87" t="s">
        <v>39</v>
      </c>
      <c r="C18" s="47">
        <f>SUM(C16:C17)</f>
        <v>1286.5999999999999</v>
      </c>
      <c r="D18" s="47">
        <f t="shared" ref="D18" si="213">SUM(D16:D17)</f>
        <v>1286.5999999999999</v>
      </c>
      <c r="E18" s="25">
        <f>SUM(E16:E17)</f>
        <v>0</v>
      </c>
      <c r="F18" s="29">
        <f t="shared" ref="F18" si="214">SUM(F16:F17)</f>
        <v>192.87</v>
      </c>
      <c r="G18" s="78">
        <f>(G16*U16+G17*U17)/U18</f>
        <v>0.12961693548387096</v>
      </c>
      <c r="H18" s="29">
        <f t="shared" ref="H18:L18" si="215">SUM(H16:H17)</f>
        <v>8.5299999999999994</v>
      </c>
      <c r="I18" s="78">
        <f>(I16*U16+I17*U17)/U18</f>
        <v>5.7325268817204292E-3</v>
      </c>
      <c r="J18" s="26">
        <f>SUM(J16:J17)</f>
        <v>0</v>
      </c>
      <c r="K18" s="78">
        <f>(K16*U16+K17*U17)/U18</f>
        <v>0</v>
      </c>
      <c r="L18" s="29">
        <f t="shared" si="215"/>
        <v>188.51</v>
      </c>
      <c r="M18" s="78">
        <f>(M16*U16+M17*U17)/U18</f>
        <v>0.86465053763440858</v>
      </c>
      <c r="N18" s="81">
        <f>(N16*U16+N17*U17)/U18</f>
        <v>0.73796370967741931</v>
      </c>
      <c r="O18" s="81">
        <f>(O16*U16+O17*U17)/U18</f>
        <v>0.22467519334425917</v>
      </c>
      <c r="P18" s="81">
        <f>(P16*U16+P17*U17)/U18</f>
        <v>0.12668682795698924</v>
      </c>
      <c r="Q18" s="81">
        <f>(Q16*U16+Q17*U17)/U18</f>
        <v>0.58234985575662201</v>
      </c>
      <c r="R18" s="29">
        <f t="shared" ref="R18" si="216">SUM(R16:R17)</f>
        <v>4</v>
      </c>
      <c r="S18" s="30">
        <f>SUM(S16:S17)</f>
        <v>1488</v>
      </c>
      <c r="T18" s="89">
        <f>SUM(T16:T17)</f>
        <v>355280</v>
      </c>
      <c r="U18" s="31">
        <f>SUM(U16:U17)</f>
        <v>820</v>
      </c>
      <c r="V18" s="15"/>
      <c r="W18" s="16"/>
      <c r="X18" s="87" t="s">
        <v>39</v>
      </c>
      <c r="Y18" s="29">
        <f>SUM(Y16:Y17)</f>
        <v>1255.1600000000001</v>
      </c>
      <c r="Z18" s="29">
        <f t="shared" ref="Z18:AB18" si="217">SUM(Z16:Z17)</f>
        <v>1255.1600000000001</v>
      </c>
      <c r="AA18" s="29">
        <f>SUM(AA16:AA17)</f>
        <v>0</v>
      </c>
      <c r="AB18" s="29">
        <f t="shared" si="217"/>
        <v>232.83999999999997</v>
      </c>
      <c r="AC18" s="79">
        <f>(AC16*AQ16+AC17*AQ17)/AQ18</f>
        <v>0.1564784946236559</v>
      </c>
      <c r="AD18" s="29">
        <f t="shared" ref="AD18:AH18" si="218">SUM(AD16:AD17)</f>
        <v>0</v>
      </c>
      <c r="AE18" s="79">
        <f>(AE16*AQ16+AE17*AQ17)/AQ18</f>
        <v>0</v>
      </c>
      <c r="AF18" s="30">
        <f>SUM(AF16:AF17)</f>
        <v>0</v>
      </c>
      <c r="AG18" s="79">
        <f>(AG16*AQ16+AG17*AQ17)/AQ18</f>
        <v>0</v>
      </c>
      <c r="AH18" s="29">
        <f t="shared" si="218"/>
        <v>236</v>
      </c>
      <c r="AI18" s="78">
        <f>(AI16*AQ16+AI17*AQ17)/AQ18</f>
        <v>0.84352150537634418</v>
      </c>
      <c r="AJ18" s="79">
        <f>(AJ16*AQ16+AJ17*AQ17)/AQ18</f>
        <v>0.6849193548387098</v>
      </c>
      <c r="AK18" s="79">
        <f>(AK16*AQ16+AK17*AQ17)/AQ18</f>
        <v>0.27159760926611753</v>
      </c>
      <c r="AL18" s="79">
        <f>(AL16*AQ16+AL17*AQ17)/AQ18</f>
        <v>0.15860215053763441</v>
      </c>
      <c r="AM18" s="81">
        <f>(AM16*AQ16+AM17*AQ17)/AQ18</f>
        <v>0.52976658798846055</v>
      </c>
      <c r="AN18" s="29">
        <f t="shared" ref="AN18" si="219">SUM(AN16:AN17)</f>
        <v>4</v>
      </c>
      <c r="AO18" s="30">
        <f>SUM(AO16:AO17)</f>
        <v>1488</v>
      </c>
      <c r="AP18" s="33">
        <f>SUM(AP16:AP17)</f>
        <v>323200</v>
      </c>
      <c r="AQ18" s="31">
        <f>SUM(AQ16:AQ17)</f>
        <v>820</v>
      </c>
      <c r="AR18" s="15"/>
      <c r="AS18" s="16"/>
      <c r="AT18" s="87" t="s">
        <v>39</v>
      </c>
      <c r="AU18" s="29">
        <f>SUM(AU16:AU17)</f>
        <v>1440</v>
      </c>
      <c r="AV18" s="29">
        <f t="shared" ref="AV18:AX18" si="220">SUM(AV16:AV17)</f>
        <v>1440</v>
      </c>
      <c r="AW18" s="29">
        <f>SUM(AW16:AW17)</f>
        <v>0</v>
      </c>
      <c r="AX18" s="29">
        <f t="shared" si="220"/>
        <v>0</v>
      </c>
      <c r="AY18" s="78">
        <f>(AY16*BM16+AY17*BM17)/BM18</f>
        <v>0</v>
      </c>
      <c r="AZ18" s="29">
        <f t="shared" ref="AZ18:BD18" si="221">SUM(AZ16:AZ17)</f>
        <v>0</v>
      </c>
      <c r="BA18" s="78">
        <f>(BA16*BM16+BA17*BM17)/BM18</f>
        <v>0</v>
      </c>
      <c r="BB18" s="30">
        <f>SUM(BB16:BB17)</f>
        <v>0</v>
      </c>
      <c r="BC18" s="79">
        <f>(BC16*BM16+BC17*BM17)/BM18</f>
        <v>0</v>
      </c>
      <c r="BD18" s="29">
        <f t="shared" si="221"/>
        <v>289.47000000000003</v>
      </c>
      <c r="BE18" s="78">
        <f>(BE16*BM16+BE17*BM17)/BM18</f>
        <v>1</v>
      </c>
      <c r="BF18" s="81">
        <f>(BF16*BM16+BF17*BM17)/BM18</f>
        <v>0.79897916666666668</v>
      </c>
      <c r="BG18" s="81">
        <f>(BG16*BM16+BG17*BM17)/BM18</f>
        <v>0.16097653045756741</v>
      </c>
      <c r="BH18" s="81">
        <f>(BH16*BM16+BH17*BM17)/BM18</f>
        <v>0.20102083333333334</v>
      </c>
      <c r="BI18" s="81">
        <f>(BI16*BM16+BI17*BM17)/BM18</f>
        <v>0.65543699186991866</v>
      </c>
      <c r="BJ18" s="149"/>
      <c r="BK18" s="30">
        <f>SUM(BK16:BK17)</f>
        <v>1440</v>
      </c>
      <c r="BL18" s="89">
        <f>SUM(BL16:BL17)</f>
        <v>386970</v>
      </c>
      <c r="BM18" s="31">
        <f>SUM(BM16:BM17)</f>
        <v>820</v>
      </c>
      <c r="BN18" s="15"/>
      <c r="BO18" s="16"/>
      <c r="BP18" s="87" t="s">
        <v>39</v>
      </c>
      <c r="BQ18" s="29">
        <f>SUM(BQ16:BQ17)</f>
        <v>1394.33</v>
      </c>
      <c r="BR18" s="29">
        <f t="shared" ref="BR18:BT18" si="222">SUM(BR16:BR17)</f>
        <v>1394.33</v>
      </c>
      <c r="BS18" s="29">
        <f>SUM(BS16:BS17)</f>
        <v>0</v>
      </c>
      <c r="BT18" s="29">
        <f t="shared" si="222"/>
        <v>93.67</v>
      </c>
      <c r="BU18" s="78">
        <f>(BU16*CI16+BU17*CI17)/CI18</f>
        <v>6.2950268817204308E-2</v>
      </c>
      <c r="BV18" s="29">
        <f t="shared" ref="BV18:BZ18" si="223">SUM(BV16:BV17)</f>
        <v>0</v>
      </c>
      <c r="BW18" s="78">
        <f>(BW16*CI16+BW17*CI17)/CI18</f>
        <v>0</v>
      </c>
      <c r="BX18" s="30">
        <f>SUM(BX16:BX17)</f>
        <v>0</v>
      </c>
      <c r="BY18" s="79">
        <f>(BY16*CI16+BY17*CI17)/CI18</f>
        <v>0</v>
      </c>
      <c r="BZ18" s="29">
        <f t="shared" si="223"/>
        <v>333</v>
      </c>
      <c r="CA18" s="78">
        <f>(CA16*CI16+CA17*CI17)/CI18</f>
        <v>0.93704973118279566</v>
      </c>
      <c r="CB18" s="81">
        <f>(CB16*CI16+CB17*CI17)/CI18</f>
        <v>0.71325940860215042</v>
      </c>
      <c r="CC18" s="81">
        <f>(CC16*CI16+CC17*CI17)/CI18</f>
        <v>0.22172903166869673</v>
      </c>
      <c r="CD18" s="81">
        <f>(CD16*CI16+CD17*CI17)/CI18</f>
        <v>0.22379032258064518</v>
      </c>
      <c r="CE18" s="81">
        <f>(CE16*CI16+CE17*CI17)/CI18</f>
        <v>0.5988067138735903</v>
      </c>
      <c r="CF18" s="149"/>
      <c r="CG18" s="33">
        <f>SUM(CG16:CG17)</f>
        <v>1488</v>
      </c>
      <c r="CH18" s="89">
        <f>SUM(CH16:CH17)</f>
        <v>365320</v>
      </c>
      <c r="CI18" s="31">
        <f>SUM(CI16:CI17)</f>
        <v>820</v>
      </c>
      <c r="CJ18" s="15"/>
      <c r="CK18" s="16"/>
      <c r="CL18" s="87" t="s">
        <v>39</v>
      </c>
      <c r="CM18" s="29">
        <f>SUM(CM16:CM17)</f>
        <v>1440</v>
      </c>
      <c r="CN18" s="29">
        <f t="shared" ref="CN18:CP18" si="224">SUM(CN16:CN17)</f>
        <v>1440</v>
      </c>
      <c r="CO18" s="29">
        <f>SUM(CO16:CO17)</f>
        <v>0</v>
      </c>
      <c r="CP18" s="29">
        <f t="shared" si="224"/>
        <v>0</v>
      </c>
      <c r="CQ18" s="78">
        <f>(CQ16*DE16+CQ17*DE17)/DE18</f>
        <v>0</v>
      </c>
      <c r="CR18" s="29">
        <f t="shared" ref="CR18:CV18" si="225">SUM(CR16:CR17)</f>
        <v>0</v>
      </c>
      <c r="CS18" s="78">
        <f>(CS16*DE16+CS17*DE17)/DE18</f>
        <v>0</v>
      </c>
      <c r="CT18" s="30">
        <f>SUM(CT16:CT17)</f>
        <v>0</v>
      </c>
      <c r="CU18" s="78">
        <f>(CU16*DE16+CU17*DE17)/DE18</f>
        <v>0</v>
      </c>
      <c r="CV18" s="29">
        <f t="shared" si="225"/>
        <v>377</v>
      </c>
      <c r="CW18" s="78">
        <f>(CW16*DE16+CW17*DE17)/DE18</f>
        <v>1</v>
      </c>
      <c r="CX18" s="81">
        <f>(CX16*DE16+CX17*DE17)/DE18</f>
        <v>0.73819444444444449</v>
      </c>
      <c r="CY18" s="81">
        <f>(CY16*DE16+CY17*DE17)/DE18</f>
        <v>0.20240551336640183</v>
      </c>
      <c r="CZ18" s="81">
        <f>(CZ16*DE16+CZ17*DE17)/DE18</f>
        <v>0.26180555555555551</v>
      </c>
      <c r="DA18" s="81">
        <f>(DA16*DE16+DA17*DE17)/DE18</f>
        <v>0.59356368563685646</v>
      </c>
      <c r="DB18" s="149"/>
      <c r="DC18" s="30">
        <f>SUM(DC16:DC17)</f>
        <v>1440</v>
      </c>
      <c r="DD18" s="89">
        <f>SUM(DD16:DD17)</f>
        <v>350440</v>
      </c>
      <c r="DE18" s="31">
        <f>SUM(DE16:DE17)</f>
        <v>820</v>
      </c>
      <c r="DF18" s="15"/>
      <c r="DG18" s="16"/>
      <c r="DH18" s="87" t="s">
        <v>39</v>
      </c>
      <c r="DI18" s="29">
        <f>SUM(DI16:DI17)</f>
        <v>1343.4099999999999</v>
      </c>
      <c r="DJ18" s="29">
        <f t="shared" ref="DJ18:DL18" si="226">SUM(DJ16:DJ17)</f>
        <v>1343.4099999999999</v>
      </c>
      <c r="DK18" s="29">
        <f>SUM(DK16:DK17)</f>
        <v>0</v>
      </c>
      <c r="DL18" s="29">
        <f t="shared" si="226"/>
        <v>144.59</v>
      </c>
      <c r="DM18" s="78">
        <f>(DM16*EA16+DM17*EA17)/EA18</f>
        <v>9.7170698924731194E-2</v>
      </c>
      <c r="DN18" s="29">
        <f t="shared" ref="DN18:DR18" si="227">SUM(DN16:DN17)</f>
        <v>0</v>
      </c>
      <c r="DO18" s="78">
        <f>(DO16*EA16+DO17*EA17)/EA18</f>
        <v>0</v>
      </c>
      <c r="DP18" s="30">
        <f>SUM(DP16:DP17)</f>
        <v>0</v>
      </c>
      <c r="DQ18" s="79">
        <f>(DQ16*EA16+DQ17*EA17)/EA18</f>
        <v>0</v>
      </c>
      <c r="DR18" s="29">
        <f t="shared" si="227"/>
        <v>393.26</v>
      </c>
      <c r="DS18" s="78">
        <f>(DS16*EA16+DS17*EA17)/EA18</f>
        <v>0.90282930107526882</v>
      </c>
      <c r="DT18" s="81">
        <f>(DT16*EA16+DT17*EA17)/EA18</f>
        <v>0.63854166666666667</v>
      </c>
      <c r="DU18" s="81">
        <f>(DU16*EA16+DU17*EA17)/EA18</f>
        <v>0.26769209629725782</v>
      </c>
      <c r="DV18" s="81">
        <f>(DV16*EA16+DV17*EA17)/EA18</f>
        <v>0.26428763440860215</v>
      </c>
      <c r="DW18" s="81">
        <f>(DW16*EA16+DW17*EA17)/EA18</f>
        <v>0.50798255966430628</v>
      </c>
      <c r="DX18" s="149"/>
      <c r="DY18" s="30">
        <f>SUM(DY16:DY17)</f>
        <v>1488</v>
      </c>
      <c r="DZ18" s="89">
        <f>SUM(DZ16:DZ17)</f>
        <v>309910</v>
      </c>
      <c r="EA18" s="31">
        <f>SUM(EA16:EA17)</f>
        <v>820</v>
      </c>
      <c r="EB18" s="15"/>
      <c r="EC18" s="16"/>
      <c r="ED18" s="87" t="s">
        <v>39</v>
      </c>
      <c r="EE18" s="29">
        <f t="shared" ref="EE18" si="228">SUM(EE16:EE17)</f>
        <v>1416.45</v>
      </c>
      <c r="EF18" s="29">
        <f t="shared" ref="EF18" si="229">SUM(EF16:EF17)</f>
        <v>1416.45</v>
      </c>
      <c r="EG18" s="29">
        <f>SUM(EG16:EG17)</f>
        <v>0</v>
      </c>
      <c r="EH18" s="29">
        <f t="shared" ref="EH18" si="230">SUM(EH16:EH17)</f>
        <v>71.55</v>
      </c>
      <c r="EI18" s="79">
        <f>(EI16*EW16+EI17*EW17)/EW18</f>
        <v>4.8084677419354842E-2</v>
      </c>
      <c r="EJ18" s="29">
        <f t="shared" ref="EJ18:EN18" si="231">SUM(EJ16:EJ17)</f>
        <v>0</v>
      </c>
      <c r="EK18" s="79">
        <f>(EK16*EW16+EK17*EW17)/EW18</f>
        <v>0</v>
      </c>
      <c r="EL18" s="30">
        <f>SUM(EL16:EL17)</f>
        <v>0</v>
      </c>
      <c r="EM18" s="79">
        <f>(EM16*EW16+EM17*EW17)/EW18</f>
        <v>0</v>
      </c>
      <c r="EN18" s="29">
        <f t="shared" si="231"/>
        <v>1028.79</v>
      </c>
      <c r="EO18" s="78">
        <f>(EO16*EW16+EO17*EW17)/EW18</f>
        <v>0.95191532258064515</v>
      </c>
      <c r="EP18" s="79">
        <f>(EP16*EW16+EP17*EW17)/EW18</f>
        <v>0.26052419354838718</v>
      </c>
      <c r="EQ18" s="80">
        <f>(EQ16*EW16+EQ17*EW17)/EW18</f>
        <v>0.43301222139748657</v>
      </c>
      <c r="ER18" s="80"/>
      <c r="ES18" s="81">
        <f>(ES16*EW16+ES17*EW17)/EW18</f>
        <v>0.54697744558090744</v>
      </c>
      <c r="ET18" s="149"/>
      <c r="EU18" s="30">
        <f>SUM(EU16:EU17)</f>
        <v>1488</v>
      </c>
      <c r="EV18" s="89">
        <f>SUM(EV16:EV17)</f>
        <v>333700</v>
      </c>
      <c r="EW18" s="31">
        <f>SUM(EW16:EW17)</f>
        <v>820</v>
      </c>
      <c r="EX18" s="15"/>
      <c r="EY18" s="16"/>
      <c r="EZ18" s="105" t="s">
        <v>39</v>
      </c>
      <c r="FA18" s="29">
        <f t="shared" ref="FA18" si="232">SUM(FA16:FA17)</f>
        <v>1311.56</v>
      </c>
      <c r="FB18" s="29">
        <f t="shared" ref="FB18" si="233">SUM(FB16:FB17)</f>
        <v>1311.56</v>
      </c>
      <c r="FC18" s="29">
        <f>SUM(FC16:FC17)</f>
        <v>0</v>
      </c>
      <c r="FD18" s="29">
        <f t="shared" ref="FD18" si="234">SUM(FD16:FD17)</f>
        <v>7.17</v>
      </c>
      <c r="FE18" s="79">
        <f>(FE16*FS16+FE17*FS17)/FS18</f>
        <v>5.3348214285714275E-3</v>
      </c>
      <c r="FF18" s="29">
        <f t="shared" ref="FF18" si="235">SUM(FF16:FF17)</f>
        <v>25.27</v>
      </c>
      <c r="FG18" s="79">
        <f>(FG16*FS16+FG17*FS17)/FS18</f>
        <v>1.8802083333333334E-2</v>
      </c>
      <c r="FH18" s="30">
        <f>SUM(FH16:FH17)</f>
        <v>0</v>
      </c>
      <c r="FI18" s="79">
        <f>(FI16*FS16+FI17*FS17)/FS18</f>
        <v>0</v>
      </c>
      <c r="FJ18" s="29">
        <f t="shared" ref="FJ18" si="236">SUM(FJ16:FJ17)</f>
        <v>359.71000000000004</v>
      </c>
      <c r="FK18" s="78">
        <f>(FK16*FS16+FK17*FS17)/FS18</f>
        <v>0.88142473118279563</v>
      </c>
      <c r="FL18" s="79">
        <f>(FL16*FS16+FL17*FS17)/FS18</f>
        <v>0.7082217261904763</v>
      </c>
      <c r="FM18" s="80">
        <f>(FM16*FS16+FM17*FS17)/FS18</f>
        <v>0.20544577028123964</v>
      </c>
      <c r="FN18" s="80"/>
      <c r="FO18" s="81">
        <f>(FO16*FS16+FO17*FS17)/FS18</f>
        <v>0.54431620209059228</v>
      </c>
      <c r="FP18" s="149"/>
      <c r="FQ18" s="30">
        <f>SUM(FQ16:FQ17)</f>
        <v>1344</v>
      </c>
      <c r="FR18" s="89">
        <f>SUM(FR16:FR17)</f>
        <v>299940</v>
      </c>
      <c r="FS18" s="31">
        <f>SUM(FS16:FS17)</f>
        <v>820</v>
      </c>
      <c r="FT18" s="15"/>
      <c r="FU18" s="16"/>
      <c r="FV18" s="87" t="s">
        <v>39</v>
      </c>
      <c r="FW18" s="29">
        <f>SUM(FW16:FW17)</f>
        <v>744</v>
      </c>
      <c r="FX18" s="29">
        <f t="shared" ref="FX18:FZ18" si="237">SUM(FX16:FX17)</f>
        <v>744</v>
      </c>
      <c r="FY18" s="29">
        <f>SUM(FY16:FY17)</f>
        <v>0</v>
      </c>
      <c r="FZ18" s="29">
        <f t="shared" si="237"/>
        <v>0</v>
      </c>
      <c r="GA18" s="78">
        <f>(GA16*GO16+GA17*GO17)/GO18</f>
        <v>0</v>
      </c>
      <c r="GB18" s="29">
        <f t="shared" ref="GB18:GF18" si="238">SUM(GB16:GB17)</f>
        <v>744</v>
      </c>
      <c r="GC18" s="78">
        <f>(GC16*GO16+GC17*GO17)/GO18</f>
        <v>0.5</v>
      </c>
      <c r="GD18" s="30">
        <f>SUM(GD16:GD17)</f>
        <v>0</v>
      </c>
      <c r="GE18" s="79">
        <f>(GE16*GO16+GE17*GO17)/GO18</f>
        <v>0</v>
      </c>
      <c r="GF18" s="29">
        <f t="shared" si="238"/>
        <v>98.46</v>
      </c>
      <c r="GG18" s="78">
        <f>(GG16*GO16+GG17*GO17)/GO18</f>
        <v>0.5</v>
      </c>
      <c r="GH18" s="81">
        <f>(GH16*GO16+GH17*GO17)/GO18</f>
        <v>0.43383064516129027</v>
      </c>
      <c r="GI18" s="81">
        <f>(GI16*GO16+GI17*GO17)/GO18</f>
        <v>5.843600883127982E-2</v>
      </c>
      <c r="GJ18" s="81">
        <f>(GJ16*GO16+GJ17*GO17)/GO18</f>
        <v>6.6169354838709671E-2</v>
      </c>
      <c r="GK18" s="81">
        <f>(GK16*GO16+GK17*GO17)/GO18</f>
        <v>0.33102216102806187</v>
      </c>
      <c r="GL18" s="149"/>
      <c r="GM18" s="30">
        <f>SUM(GM16:GM17)</f>
        <v>1488</v>
      </c>
      <c r="GN18" s="89">
        <f>SUM(GN16:GN17)</f>
        <v>201950</v>
      </c>
      <c r="GO18" s="31">
        <f>SUM(GO16:GO17)</f>
        <v>820</v>
      </c>
      <c r="GP18" s="15"/>
      <c r="GQ18" s="16"/>
      <c r="GR18" s="87" t="s">
        <v>39</v>
      </c>
      <c r="GS18" s="29">
        <f>SUM(GS16:GS17)</f>
        <v>691.77</v>
      </c>
      <c r="GT18" s="29">
        <f t="shared" ref="GT18:GV18" si="239">SUM(GT16:GT17)</f>
        <v>691.77</v>
      </c>
      <c r="GU18" s="29">
        <f>SUM(GU16:GU17)</f>
        <v>0</v>
      </c>
      <c r="GV18" s="29">
        <f t="shared" si="239"/>
        <v>28.23</v>
      </c>
      <c r="GW18" s="78">
        <f>(GW16*HK16+GW17*HK17)/HK18</f>
        <v>1.9604166666666666E-2</v>
      </c>
      <c r="GX18" s="29">
        <f t="shared" ref="GX18:HB18" si="240">SUM(GX16:GX17)</f>
        <v>720</v>
      </c>
      <c r="GY18" s="78">
        <f>(GY16*HK16+GY17*HK17)/HK18</f>
        <v>0.5</v>
      </c>
      <c r="GZ18" s="30">
        <f>SUM(GZ16:GZ17)</f>
        <v>0</v>
      </c>
      <c r="HA18" s="78">
        <f>(HA16*HK16+HA17*HK17)/HK18</f>
        <v>0</v>
      </c>
      <c r="HB18" s="29">
        <f t="shared" si="240"/>
        <v>101.23</v>
      </c>
      <c r="HC18" s="78">
        <f>(HC16*HK16+HC17*HK17)/HK18</f>
        <v>0.46489919354838716</v>
      </c>
      <c r="HD18" s="81">
        <f>(HD16*HK16+HD17*HK17)/HK18</f>
        <v>0.41009722222222222</v>
      </c>
      <c r="HE18" s="81">
        <f>(HE16*HK16+HE17*HK17)/HK18</f>
        <v>8.9902777777777776E-2</v>
      </c>
      <c r="HF18" s="81">
        <f>(HF16*HK16+HF17*HK17)/HK18</f>
        <v>7.0298611111111117E-2</v>
      </c>
      <c r="HG18" s="81">
        <f>(HG16*HK16+HG17*HK17)/HK18</f>
        <v>0.32334010840108401</v>
      </c>
      <c r="HH18" s="25">
        <f t="shared" ref="HH18" si="241">SUM(HH16:HH17)</f>
        <v>1</v>
      </c>
      <c r="HI18" s="30">
        <f>SUM(HI16:HI17)</f>
        <v>1440</v>
      </c>
      <c r="HJ18" s="89">
        <f>SUM(HJ16:HJ17)</f>
        <v>190900</v>
      </c>
      <c r="HK18" s="31">
        <f>SUM(HK16:HK17)</f>
        <v>820</v>
      </c>
      <c r="HL18" s="15"/>
      <c r="HM18" s="16"/>
      <c r="HN18" s="87" t="s">
        <v>39</v>
      </c>
      <c r="HO18" s="29">
        <f>SUM(HO16:HO17)</f>
        <v>1394.6</v>
      </c>
      <c r="HP18" s="29">
        <f t="shared" ref="HP18:HR18" si="242">SUM(HP16:HP17)</f>
        <v>1394.6</v>
      </c>
      <c r="HQ18" s="29">
        <f>SUM(HQ16:HQ17)</f>
        <v>0</v>
      </c>
      <c r="HR18" s="29">
        <f t="shared" si="242"/>
        <v>74.77</v>
      </c>
      <c r="HS18" s="78">
        <f>(HS16*IG16+HS17*IG17)/IG18</f>
        <v>5.0248655913978493E-2</v>
      </c>
      <c r="HT18" s="29">
        <f t="shared" ref="HT18:HX18" si="243">SUM(HT16:HT17)</f>
        <v>18.63</v>
      </c>
      <c r="HU18" s="78">
        <f>(HU16*IG16+HU17*IG17)/IG18</f>
        <v>1.252016129032258E-2</v>
      </c>
      <c r="HV18" s="30">
        <f>SUM(HV16:HV17)</f>
        <v>0</v>
      </c>
      <c r="HW18" s="78">
        <f>(HW16*IG16+HW17*IG17)/IG18</f>
        <v>0</v>
      </c>
      <c r="HX18" s="29">
        <f t="shared" si="243"/>
        <v>186.75</v>
      </c>
      <c r="HY18" s="78">
        <f>(HY16*IG16+HY17*IG17)/IG18</f>
        <v>0.93723118279569895</v>
      </c>
      <c r="HZ18" s="81">
        <f>(HZ16*IG16+HZ17*IG17)/IG18</f>
        <v>0.81172715053763433</v>
      </c>
      <c r="IA18" s="81">
        <f>(IA16*IG16+IA17*IG17)/IG18</f>
        <v>0.15884597359121594</v>
      </c>
      <c r="IB18" s="81">
        <f>(IB16*IG16+IB17*IG17)/IG18</f>
        <v>0.1255040322580645</v>
      </c>
      <c r="IC18" s="81">
        <f>(IC16*IG16+IC17*IG17)/IG18</f>
        <v>0.61039535798583788</v>
      </c>
      <c r="ID18" s="25">
        <f t="shared" ref="ID18" si="244">SUM(ID16:ID17)</f>
        <v>2</v>
      </c>
      <c r="IE18" s="30">
        <f>SUM(IE16:IE17)</f>
        <v>1488</v>
      </c>
      <c r="IF18" s="106">
        <f>SUM(IF16:IF17)</f>
        <v>372390</v>
      </c>
      <c r="IG18" s="31">
        <f>SUM(IG16:IG17)</f>
        <v>820</v>
      </c>
      <c r="IH18" s="15"/>
      <c r="II18" s="16"/>
      <c r="IJ18" s="87" t="s">
        <v>84</v>
      </c>
      <c r="IK18" s="90">
        <f>SUM(IK16:IK17)</f>
        <v>1420.27</v>
      </c>
      <c r="IL18" s="90">
        <f t="shared" ref="IL18:IM18" si="245">SUM(IL16:IL17)</f>
        <v>1420.27</v>
      </c>
      <c r="IM18" s="29">
        <f t="shared" si="245"/>
        <v>0</v>
      </c>
      <c r="IN18" s="90">
        <f t="shared" ref="IN18:IR18" si="246">SUM(IN16:IN17)</f>
        <v>19.73</v>
      </c>
      <c r="IO18" s="78">
        <f>(IO16*JC16+IO17*JC17)/JC18</f>
        <v>1.3701388888888888E-2</v>
      </c>
      <c r="IP18" s="90">
        <f t="shared" si="246"/>
        <v>0</v>
      </c>
      <c r="IQ18" s="78">
        <f>(IQ16*JC16+IQ17*JC17)/JC18</f>
        <v>0</v>
      </c>
      <c r="IR18" s="90">
        <f t="shared" si="246"/>
        <v>0</v>
      </c>
      <c r="IS18" s="78">
        <f>(IS16*JC16+IS17*JC17)/JC18</f>
        <v>0</v>
      </c>
      <c r="IT18" s="29">
        <f t="shared" ref="IT18" si="247">SUM(IT16:IT17)</f>
        <v>404.45000000000005</v>
      </c>
      <c r="IU18" s="79">
        <f>(IU16*JC16+IU17*JC17)/JC18</f>
        <v>0.98629861111111106</v>
      </c>
      <c r="IV18" s="80">
        <f>(IV16*JC16+IV17*JC17)/JC18</f>
        <v>0.70543055555555545</v>
      </c>
      <c r="IW18" s="80">
        <f>(IW16*JC16+IW17*JC17)/JC18</f>
        <v>0.29456944444444449</v>
      </c>
      <c r="IX18" s="80">
        <f>(IX16*JC16+IX17*JC17)/JC18</f>
        <v>0.28086805555555561</v>
      </c>
      <c r="IY18" s="80">
        <f>(IY16*JC16+IY17*JC17)/JC18</f>
        <v>0.62405149051490516</v>
      </c>
      <c r="IZ18" s="152">
        <f>SUM(IZ16:IZ17)</f>
        <v>1</v>
      </c>
      <c r="JA18" s="31">
        <f>SUM(JA16:JA17)</f>
        <v>1440</v>
      </c>
      <c r="JB18" s="45">
        <f>SUM(JB16:JB17)</f>
        <v>368440</v>
      </c>
      <c r="JC18" s="31">
        <f>SUM(JC16:JC17)</f>
        <v>820</v>
      </c>
    </row>
    <row r="19" spans="1:264" ht="15" x14ac:dyDescent="0.25">
      <c r="A19" s="16" t="s">
        <v>44</v>
      </c>
      <c r="B19" s="17">
        <v>1</v>
      </c>
      <c r="C19" s="8">
        <v>593.17999999999995</v>
      </c>
      <c r="D19" s="8">
        <v>593.17999999999995</v>
      </c>
      <c r="E19" s="8">
        <v>0</v>
      </c>
      <c r="F19" s="8">
        <v>150.82</v>
      </c>
      <c r="G19" s="6">
        <f>(F19/$B$4)</f>
        <v>0.20271505376344084</v>
      </c>
      <c r="H19" s="8">
        <v>0</v>
      </c>
      <c r="I19" s="6">
        <f>(H19/$B$4)</f>
        <v>0</v>
      </c>
      <c r="J19" s="6">
        <v>0</v>
      </c>
      <c r="K19" s="6">
        <f>(J19/$B$4)</f>
        <v>0</v>
      </c>
      <c r="L19" s="8">
        <v>222.9</v>
      </c>
      <c r="M19" s="69">
        <f>(C19/$B$4)</f>
        <v>0.7972849462365591</v>
      </c>
      <c r="N19" s="69">
        <f>((C19-L19)/$B$4)</f>
        <v>0.49768817204301069</v>
      </c>
      <c r="O19" s="149">
        <f>IF((AND(D19=0,F19=0)),0,(F19+L19)/(D19+F19+L19))</f>
        <v>0.38651360016547731</v>
      </c>
      <c r="P19" s="149">
        <f>L19/$B$4</f>
        <v>0.29959677419354841</v>
      </c>
      <c r="Q19" s="69">
        <f>(T19/($B$4*U19))</f>
        <v>0.40678016726403821</v>
      </c>
      <c r="R19" s="15">
        <v>2</v>
      </c>
      <c r="S19" s="6">
        <f>SUM(D19:F19,H19,J19)</f>
        <v>744</v>
      </c>
      <c r="T19" s="19">
        <v>136190</v>
      </c>
      <c r="U19" s="8">
        <v>450</v>
      </c>
      <c r="W19" s="16" t="s">
        <v>44</v>
      </c>
      <c r="X19" s="17">
        <v>1</v>
      </c>
      <c r="Y19" s="8">
        <f>$X$4-AB19-AD19</f>
        <v>611.54999999999995</v>
      </c>
      <c r="Z19" s="8">
        <v>611.54999999999995</v>
      </c>
      <c r="AA19" s="8">
        <v>0</v>
      </c>
      <c r="AB19" s="8">
        <v>132.44999999999999</v>
      </c>
      <c r="AC19" s="6">
        <f>(AB19/$X$4)</f>
        <v>0.17802419354838708</v>
      </c>
      <c r="AD19" s="8">
        <v>0</v>
      </c>
      <c r="AE19" s="6">
        <f>(AD19/$X$4)</f>
        <v>0</v>
      </c>
      <c r="AF19" s="6">
        <v>0</v>
      </c>
      <c r="AG19" s="6">
        <f>(AF19/$X$4)</f>
        <v>0</v>
      </c>
      <c r="AH19" s="8">
        <v>244</v>
      </c>
      <c r="AI19" s="69">
        <f>(Y19/$X$4)</f>
        <v>0.82197580645161283</v>
      </c>
      <c r="AJ19" s="69">
        <f>((Y19-AH19)/$X$4)</f>
        <v>0.49401881720430102</v>
      </c>
      <c r="AK19" s="149">
        <f>IF((AND(Z19=0,AB19=0)),0,(AB19+AH19)/(Z19+AB19+AH19))</f>
        <v>0.38102226720647769</v>
      </c>
      <c r="AL19" s="149">
        <f>AH19/$X$4</f>
        <v>0.32795698924731181</v>
      </c>
      <c r="AM19" s="69">
        <f>(AP19/($X$4*AQ19))</f>
        <v>0.33911290322580645</v>
      </c>
      <c r="AN19" s="15">
        <v>3</v>
      </c>
      <c r="AO19" s="6">
        <f>SUM(Z19:AB19,AD19,AF19)</f>
        <v>744</v>
      </c>
      <c r="AP19" s="19">
        <v>113535</v>
      </c>
      <c r="AQ19" s="8">
        <v>450</v>
      </c>
      <c r="AS19" s="16" t="s">
        <v>44</v>
      </c>
      <c r="AT19" s="17">
        <v>1</v>
      </c>
      <c r="AU19" s="8">
        <v>425.75</v>
      </c>
      <c r="AV19" s="8">
        <v>425.75</v>
      </c>
      <c r="AW19" s="8">
        <v>0</v>
      </c>
      <c r="AX19" s="8">
        <v>294.25</v>
      </c>
      <c r="AY19" s="6">
        <f>(AX19/$AT$4)</f>
        <v>0.40868055555555555</v>
      </c>
      <c r="AZ19" s="8">
        <v>0</v>
      </c>
      <c r="BA19" s="6">
        <f>(AZ19/$AT$4)</f>
        <v>0</v>
      </c>
      <c r="BB19" s="6">
        <v>0</v>
      </c>
      <c r="BC19" s="6">
        <f>(BB19/$AT$4)</f>
        <v>0</v>
      </c>
      <c r="BD19" s="8">
        <v>138.26</v>
      </c>
      <c r="BE19" s="69">
        <f>(AU19/$AT$4)</f>
        <v>0.5913194444444444</v>
      </c>
      <c r="BF19" s="69">
        <f>((AU19-BD19)/$AT$4)</f>
        <v>0.39929166666666666</v>
      </c>
      <c r="BG19" s="149">
        <f>IF((AND(AV19=0,AX19=0)),0,(AX19+BD19)/(AV19+AX19+BD19))</f>
        <v>0.50393820054528926</v>
      </c>
      <c r="BH19" s="149">
        <f>BD19/$AT$4</f>
        <v>0.19202777777777777</v>
      </c>
      <c r="BI19" s="69">
        <f>(BL19/($AT$4*BM19))</f>
        <v>0.28304012345679014</v>
      </c>
      <c r="BJ19" s="6"/>
      <c r="BK19" s="6">
        <f>SUM(AV19:AX19,AZ19,BB19)</f>
        <v>720</v>
      </c>
      <c r="BL19" s="19">
        <v>91705</v>
      </c>
      <c r="BM19" s="8">
        <v>450</v>
      </c>
      <c r="BO19" s="16" t="s">
        <v>44</v>
      </c>
      <c r="BP19" s="17">
        <v>1</v>
      </c>
      <c r="BQ19" s="8">
        <v>512.32000000000005</v>
      </c>
      <c r="BR19" s="8">
        <v>512.32000000000005</v>
      </c>
      <c r="BS19" s="8">
        <v>0</v>
      </c>
      <c r="BT19" s="8">
        <v>231.68</v>
      </c>
      <c r="BU19" s="69">
        <f>(BT19/$BP$4)</f>
        <v>0.31139784946236559</v>
      </c>
      <c r="BV19" s="8">
        <v>0</v>
      </c>
      <c r="BW19" s="69">
        <f>(BV19/$BP$4)</f>
        <v>0</v>
      </c>
      <c r="BX19" s="6">
        <v>0</v>
      </c>
      <c r="BY19" s="69">
        <f>(BX19/$BP$4)</f>
        <v>0</v>
      </c>
      <c r="BZ19" s="8">
        <v>225.6</v>
      </c>
      <c r="CA19" s="69">
        <f>(BQ19/$BP$4)</f>
        <v>0.68860215053763452</v>
      </c>
      <c r="CB19" s="69">
        <f>((BQ19-BZ19)/$BP$4)</f>
        <v>0.38537634408602156</v>
      </c>
      <c r="CC19" s="149">
        <f>IF((AND(BR19=0,BT19=0)),0,(BT19+BZ19)/(BR19+BT19+BZ19))</f>
        <v>0.47161716171617157</v>
      </c>
      <c r="CD19" s="149">
        <f>BZ19/$BP$4</f>
        <v>0.3032258064516129</v>
      </c>
      <c r="CE19" s="69">
        <f>(CH19/($BP$4*CI19))</f>
        <v>0.33531959378733572</v>
      </c>
      <c r="CF19" s="69"/>
      <c r="CG19" s="42">
        <f>SUM(BR19:BT19,BV19,BX19)</f>
        <v>744</v>
      </c>
      <c r="CH19" s="19">
        <v>112265</v>
      </c>
      <c r="CI19" s="8">
        <v>450</v>
      </c>
      <c r="CK19" s="16" t="s">
        <v>44</v>
      </c>
      <c r="CL19" s="17">
        <v>1</v>
      </c>
      <c r="CM19" s="8">
        <v>720</v>
      </c>
      <c r="CN19" s="8">
        <v>720</v>
      </c>
      <c r="CO19" s="8">
        <v>0</v>
      </c>
      <c r="CP19" s="8">
        <v>0</v>
      </c>
      <c r="CQ19" s="6">
        <f>(CP19/$CL$4)</f>
        <v>0</v>
      </c>
      <c r="CR19" s="8">
        <v>0</v>
      </c>
      <c r="CS19" s="6">
        <f>(CR19/$CL$4)</f>
        <v>0</v>
      </c>
      <c r="CT19" s="6">
        <v>0</v>
      </c>
      <c r="CU19" s="6">
        <f>(CT19/$CL$4)</f>
        <v>0</v>
      </c>
      <c r="CV19" s="8">
        <v>0</v>
      </c>
      <c r="CW19" s="69">
        <f>(CM19/$CL$4)</f>
        <v>1</v>
      </c>
      <c r="CX19" s="69">
        <f>((CM19-CV19)/$CL$4)</f>
        <v>1</v>
      </c>
      <c r="CY19" s="149">
        <f>IF((AND(CN19=0,CP19=0)),0,(CP19+CV19)/(CN19+CP19+CV19))</f>
        <v>0</v>
      </c>
      <c r="CZ19" s="149">
        <f>CV19/$CL$4</f>
        <v>0</v>
      </c>
      <c r="DA19" s="69">
        <f>(DD19/($CL$4*DE19))</f>
        <v>0.42589506172839509</v>
      </c>
      <c r="DB19" s="6"/>
      <c r="DC19" s="6">
        <f>SUM(CN19:CP19,CR19,CT19)</f>
        <v>720</v>
      </c>
      <c r="DD19" s="19">
        <v>137990</v>
      </c>
      <c r="DE19" s="8">
        <v>450</v>
      </c>
      <c r="DG19" s="16" t="s">
        <v>44</v>
      </c>
      <c r="DH19" s="17">
        <v>1</v>
      </c>
      <c r="DI19" s="8">
        <v>0</v>
      </c>
      <c r="DJ19" s="8">
        <v>0</v>
      </c>
      <c r="DK19" s="8">
        <v>0</v>
      </c>
      <c r="DL19" s="8">
        <v>0</v>
      </c>
      <c r="DM19" s="69">
        <f>(DL19/$DH$4)</f>
        <v>0</v>
      </c>
      <c r="DN19" s="8">
        <v>744</v>
      </c>
      <c r="DO19" s="69">
        <f>(DN19/$DH$4)</f>
        <v>1</v>
      </c>
      <c r="DP19" s="6">
        <v>0</v>
      </c>
      <c r="DQ19" s="69">
        <f>(DP19/$DH$4)</f>
        <v>0</v>
      </c>
      <c r="DR19" s="8">
        <v>0</v>
      </c>
      <c r="DS19" s="69">
        <f>(DI19/$X$4)</f>
        <v>0</v>
      </c>
      <c r="DT19" s="69">
        <f>((DI19-DR19)/$DH$4)</f>
        <v>0</v>
      </c>
      <c r="DU19" s="149">
        <f>IF((AND(DJ19=0,DL19=0)),0,(DL19+DR19)/(DJ19+DL19+DR19))</f>
        <v>0</v>
      </c>
      <c r="DV19" s="149">
        <f>DR19/$DH$4</f>
        <v>0</v>
      </c>
      <c r="DW19" s="69">
        <f>(DZ19/($DH$4*EA19))</f>
        <v>0</v>
      </c>
      <c r="DX19" s="69"/>
      <c r="DY19" s="6">
        <f>SUM(DJ19:DL19,DN19,DP19)</f>
        <v>744</v>
      </c>
      <c r="DZ19" s="8">
        <v>0</v>
      </c>
      <c r="EA19" s="8">
        <v>450</v>
      </c>
      <c r="EC19" s="16" t="s">
        <v>44</v>
      </c>
      <c r="ED19" s="17">
        <v>1</v>
      </c>
      <c r="EE19" s="8">
        <v>293.60000000000002</v>
      </c>
      <c r="EF19" s="8">
        <v>293.60000000000002</v>
      </c>
      <c r="EG19" s="8">
        <v>0</v>
      </c>
      <c r="EH19" s="8">
        <v>360.43</v>
      </c>
      <c r="EI19" s="6">
        <f>(EH19/$ED$4)</f>
        <v>0.48444892473118278</v>
      </c>
      <c r="EJ19" s="8">
        <v>89.97</v>
      </c>
      <c r="EK19" s="6">
        <f>(EJ19/$ED$4)</f>
        <v>0.12092741935483871</v>
      </c>
      <c r="EL19" s="6">
        <v>0</v>
      </c>
      <c r="EM19" s="6">
        <f>(EL19/$ED$4)</f>
        <v>0</v>
      </c>
      <c r="EN19" s="8">
        <v>136.15</v>
      </c>
      <c r="EO19" s="69">
        <f>(EE19/$X$4)</f>
        <v>0.39462365591397852</v>
      </c>
      <c r="EP19" s="69">
        <f>((EE19-EN19)/$ED$4)</f>
        <v>0.21162634408602152</v>
      </c>
      <c r="EQ19" s="149">
        <f>IF((AND(EF19=0,EH19=0)),0,(EH19+EN19)/(EF19+EH19+EN19))</f>
        <v>0.6284390898276343</v>
      </c>
      <c r="ER19" s="149">
        <f>EN19/$ED$4</f>
        <v>0.182997311827957</v>
      </c>
      <c r="ES19" s="69">
        <f>(EV19/($ED$4*EW19))</f>
        <v>0.20098566308243729</v>
      </c>
      <c r="ET19" s="6"/>
      <c r="EU19" s="6">
        <f>SUM(EF19:EH19,EJ19,EL19)</f>
        <v>744</v>
      </c>
      <c r="EV19" s="19">
        <v>67290</v>
      </c>
      <c r="EW19" s="8">
        <v>450</v>
      </c>
      <c r="EY19" s="16" t="s">
        <v>44</v>
      </c>
      <c r="EZ19" s="17">
        <v>1</v>
      </c>
      <c r="FA19" s="8">
        <v>325.02999999999997</v>
      </c>
      <c r="FB19" s="8">
        <v>325.02999999999997</v>
      </c>
      <c r="FC19" s="8">
        <v>0</v>
      </c>
      <c r="FD19" s="8">
        <v>346.97</v>
      </c>
      <c r="FE19" s="6">
        <f>(FD19/$EZ$4)</f>
        <v>0.51632440476190478</v>
      </c>
      <c r="FF19" s="8">
        <v>0</v>
      </c>
      <c r="FG19" s="6">
        <f>(FF19/$EZ$4)</f>
        <v>0</v>
      </c>
      <c r="FH19" s="6">
        <v>0</v>
      </c>
      <c r="FI19" s="6">
        <f>(FH19/$EZ$4)</f>
        <v>0</v>
      </c>
      <c r="FJ19" s="8">
        <v>122.77</v>
      </c>
      <c r="FK19" s="69">
        <f>(FA19/$X$4)</f>
        <v>0.43686827956989244</v>
      </c>
      <c r="FL19" s="69">
        <f>((FA19-FJ19)/$EZ$4)</f>
        <v>0.30098214285714286</v>
      </c>
      <c r="FM19" s="149">
        <f>IF((AND(FB19=0,FD19=0)),0,(FD19+FJ19)/(FB19+FD19+FJ19))</f>
        <v>0.59103891691936039</v>
      </c>
      <c r="FN19" s="149">
        <f>FJ19/$EZ$4</f>
        <v>0.18269345238095239</v>
      </c>
      <c r="FO19" s="69">
        <f>(FR19/($EZ$4*FS19))</f>
        <v>0.25739087301587299</v>
      </c>
      <c r="FP19" s="6"/>
      <c r="FQ19" s="6">
        <f>SUM(FB19:FD19,FF19,FH19)</f>
        <v>672</v>
      </c>
      <c r="FR19" s="19">
        <v>77835</v>
      </c>
      <c r="FS19" s="8">
        <v>450</v>
      </c>
      <c r="FU19" s="16" t="s">
        <v>44</v>
      </c>
      <c r="FV19" s="17">
        <v>1</v>
      </c>
      <c r="FW19" s="8">
        <v>0</v>
      </c>
      <c r="FX19" s="8">
        <v>0</v>
      </c>
      <c r="FY19" s="8">
        <v>0</v>
      </c>
      <c r="FZ19" s="8">
        <v>744</v>
      </c>
      <c r="GA19" s="69">
        <f>(FZ19/$FV$4)</f>
        <v>1</v>
      </c>
      <c r="GB19" s="8">
        <v>0</v>
      </c>
      <c r="GC19" s="69">
        <f>(GB19/$FV$4)</f>
        <v>0</v>
      </c>
      <c r="GD19" s="6">
        <v>0</v>
      </c>
      <c r="GE19" s="69">
        <f>(GD19/$FV$4)</f>
        <v>0</v>
      </c>
      <c r="GF19" s="8">
        <v>0</v>
      </c>
      <c r="GG19" s="69">
        <f>(FW19/$X$4)</f>
        <v>0</v>
      </c>
      <c r="GH19" s="69">
        <f>((FW19-GF19)/$FV$4)</f>
        <v>0</v>
      </c>
      <c r="GI19" s="149">
        <f>IF((AND(FX19=0,FZ19=0)),0,(FZ19+GF19)/(FX19+FZ19+GF19))</f>
        <v>1</v>
      </c>
      <c r="GJ19" s="149">
        <f>GF19/$FV$4</f>
        <v>0</v>
      </c>
      <c r="GK19" s="69">
        <f>(GN19/($FV$4*GO19))</f>
        <v>0</v>
      </c>
      <c r="GL19" s="69"/>
      <c r="GM19" s="6">
        <f>SUM(FX19:FZ19,GB19,GD19)</f>
        <v>744</v>
      </c>
      <c r="GN19" s="8">
        <v>0</v>
      </c>
      <c r="GO19" s="8">
        <v>450</v>
      </c>
      <c r="GQ19" s="16" t="s">
        <v>44</v>
      </c>
      <c r="GR19" s="17">
        <v>1</v>
      </c>
      <c r="GS19" s="8">
        <v>0</v>
      </c>
      <c r="GT19" s="8">
        <v>0</v>
      </c>
      <c r="GU19" s="8">
        <v>0</v>
      </c>
      <c r="GV19" s="15">
        <v>720</v>
      </c>
      <c r="GW19" s="6">
        <f>(GV19/$GR$4)</f>
        <v>1</v>
      </c>
      <c r="GX19" s="8">
        <v>0</v>
      </c>
      <c r="GY19" s="6">
        <f>(GX19/$GR$4)</f>
        <v>0</v>
      </c>
      <c r="GZ19" s="15">
        <v>0</v>
      </c>
      <c r="HA19" s="6">
        <f>(GZ19/$GR$4)</f>
        <v>0</v>
      </c>
      <c r="HB19" s="8">
        <v>0</v>
      </c>
      <c r="HC19" s="69">
        <f>(GS19/$X$4)</f>
        <v>0</v>
      </c>
      <c r="HD19" s="69">
        <f>((GS19-HB19)/$GR$4)</f>
        <v>0</v>
      </c>
      <c r="HE19" s="149">
        <f>IF((AND(GT19=0,GV19=0)),0,(GV19+HB19)/(GT19+GV19))</f>
        <v>1</v>
      </c>
      <c r="HF19" s="149">
        <f>HB19/$GR$4</f>
        <v>0</v>
      </c>
      <c r="HG19" s="69">
        <f>(HJ19/($GR$4*HK19))</f>
        <v>0</v>
      </c>
      <c r="HH19" s="15">
        <v>0</v>
      </c>
      <c r="HI19" s="6">
        <f>SUM(GT19:GV19,GX19,GZ19)</f>
        <v>720</v>
      </c>
      <c r="HJ19" s="8">
        <v>0</v>
      </c>
      <c r="HK19" s="8">
        <v>450</v>
      </c>
      <c r="HM19" s="16" t="s">
        <v>44</v>
      </c>
      <c r="HN19" s="17">
        <v>1</v>
      </c>
      <c r="HO19" s="8">
        <v>0</v>
      </c>
      <c r="HP19" s="8">
        <v>0</v>
      </c>
      <c r="HQ19" s="8">
        <v>0</v>
      </c>
      <c r="HR19" s="8">
        <v>744</v>
      </c>
      <c r="HS19" s="21">
        <f>(HR19/$HN$4)</f>
        <v>1</v>
      </c>
      <c r="HT19" s="8">
        <v>0</v>
      </c>
      <c r="HU19" s="21">
        <f>(HT19/$HN$4)</f>
        <v>0</v>
      </c>
      <c r="HV19" s="17">
        <v>0</v>
      </c>
      <c r="HW19" s="6">
        <f>(HV19/$HN$4)</f>
        <v>0</v>
      </c>
      <c r="HX19" s="8">
        <v>0</v>
      </c>
      <c r="HY19" s="69">
        <f>(HO19/$HN$4)</f>
        <v>0</v>
      </c>
      <c r="HZ19" s="164">
        <f>((HO19-HX19)/$HN$4)</f>
        <v>0</v>
      </c>
      <c r="IA19" s="164">
        <f>IF((AND(HP19=0,HR19=0)),0,(HR19+HX19)/(HP19+HR19+HX19))</f>
        <v>1</v>
      </c>
      <c r="IB19" s="149">
        <f>HX19/$HN$4</f>
        <v>0</v>
      </c>
      <c r="IC19" s="69">
        <f>(IF19/($HN$4*IG19))</f>
        <v>0</v>
      </c>
      <c r="ID19" s="15">
        <v>0</v>
      </c>
      <c r="IE19" s="6">
        <f>SUM(HP19:HR19,HT19,HV19)</f>
        <v>744</v>
      </c>
      <c r="IF19" s="8">
        <v>0</v>
      </c>
      <c r="IG19" s="8">
        <v>450</v>
      </c>
      <c r="II19" s="16" t="s">
        <v>44</v>
      </c>
      <c r="IJ19" s="17">
        <v>1</v>
      </c>
      <c r="IK19" s="52">
        <v>0</v>
      </c>
      <c r="IL19" s="52">
        <v>0</v>
      </c>
      <c r="IM19" s="54">
        <v>0</v>
      </c>
      <c r="IN19" s="49">
        <v>720</v>
      </c>
      <c r="IO19" s="69">
        <f>(IN19/$IJ$4)</f>
        <v>1</v>
      </c>
      <c r="IP19" s="8">
        <v>0</v>
      </c>
      <c r="IQ19" s="69">
        <f>(IP19/$IJ$4)</f>
        <v>0</v>
      </c>
      <c r="IR19" s="8">
        <v>0</v>
      </c>
      <c r="IS19" s="69">
        <f>(IR19/$IJ$4)</f>
        <v>0</v>
      </c>
      <c r="IT19" s="8">
        <v>0</v>
      </c>
      <c r="IU19" s="69">
        <f>(IK19/$IJ$4)</f>
        <v>0</v>
      </c>
      <c r="IV19" s="164">
        <f>((IK19-IT19)/$IJ$4)</f>
        <v>0</v>
      </c>
      <c r="IW19" s="164">
        <f>IF((AND(IL19=0,IN19=0)),0,(IN19+IT19)/(IL19+IN19+IT19))</f>
        <v>1</v>
      </c>
      <c r="IX19" s="149">
        <f>IT19/$IJ$4</f>
        <v>0</v>
      </c>
      <c r="IY19" s="69">
        <f>(JB19/($IJ$4*JC19))</f>
        <v>0</v>
      </c>
      <c r="IZ19" s="15">
        <v>0</v>
      </c>
      <c r="JA19" s="15">
        <f>SUM(IL19:IN19,IP19,IR19)</f>
        <v>720</v>
      </c>
      <c r="JB19" s="52">
        <v>0</v>
      </c>
      <c r="JC19" s="8">
        <v>450</v>
      </c>
    </row>
    <row r="20" spans="1:264" ht="14.25" x14ac:dyDescent="0.25">
      <c r="B20" s="17">
        <v>2</v>
      </c>
      <c r="C20" s="8">
        <v>557.17999999999995</v>
      </c>
      <c r="D20" s="8">
        <v>557.17999999999995</v>
      </c>
      <c r="E20" s="8">
        <v>0</v>
      </c>
      <c r="F20" s="8">
        <v>186.82</v>
      </c>
      <c r="G20" s="6">
        <f>(F20/$B$4)</f>
        <v>0.25110215053763441</v>
      </c>
      <c r="H20" s="8">
        <v>0</v>
      </c>
      <c r="I20" s="6">
        <f>(H20/$B$4)</f>
        <v>0</v>
      </c>
      <c r="J20" s="6">
        <v>0</v>
      </c>
      <c r="K20" s="6">
        <f>(J20/$B$4)</f>
        <v>0</v>
      </c>
      <c r="L20" s="8">
        <v>154.69999999999999</v>
      </c>
      <c r="M20" s="69">
        <f>(C20/$B$4)</f>
        <v>0.74889784946236548</v>
      </c>
      <c r="N20" s="69">
        <f>((C20-L20)/$B$4)</f>
        <v>0.5409677419354838</v>
      </c>
      <c r="O20" s="149">
        <f>IF((AND(D20=0,F20=0)),0,(F20+L20)/(D20+F20+L20))</f>
        <v>0.38001557805719366</v>
      </c>
      <c r="P20" s="149">
        <f>L20/$B$4</f>
        <v>0.20793010752688171</v>
      </c>
      <c r="Q20" s="69">
        <f>(T20/($B$4*U20))</f>
        <v>0.37267025089605732</v>
      </c>
      <c r="R20" s="15">
        <v>2</v>
      </c>
      <c r="S20" s="6">
        <f t="shared" ref="S20" si="248">SUM(D20:F20,H20,J20)</f>
        <v>744</v>
      </c>
      <c r="T20" s="19">
        <v>124770</v>
      </c>
      <c r="U20" s="8">
        <v>450</v>
      </c>
      <c r="X20" s="17">
        <v>2</v>
      </c>
      <c r="Y20" s="8">
        <f>$X$4-AB20-AD20</f>
        <v>259.8</v>
      </c>
      <c r="Z20" s="8">
        <v>259.8</v>
      </c>
      <c r="AA20" s="8">
        <v>0</v>
      </c>
      <c r="AB20" s="8">
        <v>439.45</v>
      </c>
      <c r="AC20" s="6">
        <f>(AB20/$X$4)</f>
        <v>0.59065860215053767</v>
      </c>
      <c r="AD20" s="8">
        <v>44.75</v>
      </c>
      <c r="AE20" s="6">
        <f>(AD20/$X$4)</f>
        <v>6.0147849462365593E-2</v>
      </c>
      <c r="AF20" s="6">
        <v>0</v>
      </c>
      <c r="AG20" s="6">
        <f>(AF20/$X$4)</f>
        <v>0</v>
      </c>
      <c r="AH20" s="8">
        <v>50</v>
      </c>
      <c r="AI20" s="69">
        <f>(Y20/$X$4)</f>
        <v>0.34919354838709676</v>
      </c>
      <c r="AJ20" s="69">
        <f>((Y20-AH20)/$X$4)</f>
        <v>0.28198924731182795</v>
      </c>
      <c r="AK20" s="149">
        <f>IF((AND(Z20=0,AB20=0)),0,(AB20+AH20)/(Z20+AB20+AH20))</f>
        <v>0.65325325325325323</v>
      </c>
      <c r="AL20" s="149">
        <f>AH20/$X$4</f>
        <v>6.7204301075268813E-2</v>
      </c>
      <c r="AM20" s="69">
        <f>(AP20/($X$4*AQ20))</f>
        <v>0.18405017921146954</v>
      </c>
      <c r="AN20" s="15">
        <v>2</v>
      </c>
      <c r="AO20" s="6">
        <f t="shared" ref="AO20" si="249">SUM(Z20:AB20,AD20,AF20)</f>
        <v>744</v>
      </c>
      <c r="AP20" s="19">
        <v>61620</v>
      </c>
      <c r="AQ20" s="8">
        <v>450</v>
      </c>
      <c r="AT20" s="17">
        <v>2</v>
      </c>
      <c r="AU20" s="8">
        <v>0</v>
      </c>
      <c r="AV20" s="8">
        <v>0</v>
      </c>
      <c r="AW20" s="8">
        <v>0</v>
      </c>
      <c r="AX20" s="8">
        <v>720</v>
      </c>
      <c r="AY20" s="6">
        <f>(AX20/$AT$4)</f>
        <v>1</v>
      </c>
      <c r="AZ20" s="8">
        <v>0</v>
      </c>
      <c r="BA20" s="6">
        <f>(AZ20/$AT$4)</f>
        <v>0</v>
      </c>
      <c r="BB20" s="6">
        <v>0</v>
      </c>
      <c r="BC20" s="6">
        <f>(BB20/$AT$4)</f>
        <v>0</v>
      </c>
      <c r="BD20" s="8">
        <v>0</v>
      </c>
      <c r="BE20" s="69">
        <f>(AU20/$AT$4)</f>
        <v>0</v>
      </c>
      <c r="BF20" s="69">
        <f>((AU20-BD20)/$AT$4)</f>
        <v>0</v>
      </c>
      <c r="BG20" s="149">
        <f>IF((AND(AV20=0,AX20=0)),0,(AX20+BD20)/(AV20+AX20+BD20))</f>
        <v>1</v>
      </c>
      <c r="BH20" s="149">
        <f t="shared" ref="BH20" si="250">BD20/$AT$4</f>
        <v>0</v>
      </c>
      <c r="BI20" s="69">
        <f>(BL20/($AT$4*BM20))</f>
        <v>0</v>
      </c>
      <c r="BJ20" s="6"/>
      <c r="BK20" s="6">
        <f t="shared" ref="BK20" si="251">SUM(AV20:AX20,AZ20,BB20)</f>
        <v>720</v>
      </c>
      <c r="BL20" s="8">
        <v>0</v>
      </c>
      <c r="BM20" s="8">
        <v>450</v>
      </c>
      <c r="BP20" s="17">
        <v>2</v>
      </c>
      <c r="BQ20" s="8">
        <v>0</v>
      </c>
      <c r="BR20" s="8">
        <v>0</v>
      </c>
      <c r="BS20" s="8">
        <v>0</v>
      </c>
      <c r="BT20" s="8">
        <v>0</v>
      </c>
      <c r="BU20" s="69">
        <f>(BT20/$BP$4)</f>
        <v>0</v>
      </c>
      <c r="BV20" s="8">
        <v>744</v>
      </c>
      <c r="BW20" s="69">
        <f>(BV20/$BP$4)</f>
        <v>1</v>
      </c>
      <c r="BX20" s="6">
        <v>0</v>
      </c>
      <c r="BY20" s="69">
        <f>(BX20/$BP$4)</f>
        <v>0</v>
      </c>
      <c r="BZ20" s="8">
        <v>0</v>
      </c>
      <c r="CA20" s="69">
        <f t="shared" ref="CA20" si="252">(BQ20/$BP$4)</f>
        <v>0</v>
      </c>
      <c r="CB20" s="69">
        <f t="shared" ref="CB20" si="253">((BQ20-BZ20)/$BP$4)</f>
        <v>0</v>
      </c>
      <c r="CC20" s="149">
        <f t="shared" ref="CC20" si="254">IF((AND(BR20=0,BT20=0)),0,(BT20+BZ20)/(BR20+BT20+BZ20))</f>
        <v>0</v>
      </c>
      <c r="CD20" s="149">
        <f t="shared" ref="CD20" si="255">BZ20/$BP$4</f>
        <v>0</v>
      </c>
      <c r="CE20" s="69">
        <f t="shared" ref="CE20" si="256">(CH20/($BP$4*CI20))</f>
        <v>0</v>
      </c>
      <c r="CF20" s="69"/>
      <c r="CG20" s="42">
        <f t="shared" ref="CG20" si="257">SUM(BR20:BT20,BV20,BX20)</f>
        <v>744</v>
      </c>
      <c r="CH20" s="8">
        <v>0</v>
      </c>
      <c r="CI20" s="8">
        <v>450</v>
      </c>
      <c r="CL20" s="17">
        <v>2</v>
      </c>
      <c r="CM20" s="8">
        <v>0</v>
      </c>
      <c r="CN20" s="8">
        <v>0</v>
      </c>
      <c r="CO20" s="8">
        <v>0</v>
      </c>
      <c r="CP20" s="8">
        <v>720</v>
      </c>
      <c r="CQ20" s="6">
        <f>(CP20/$CL$4)</f>
        <v>1</v>
      </c>
      <c r="CR20" s="8">
        <v>0</v>
      </c>
      <c r="CS20" s="6">
        <f>(CR20/$CL$4)</f>
        <v>0</v>
      </c>
      <c r="CT20" s="6">
        <v>0</v>
      </c>
      <c r="CU20" s="6">
        <f>(CT20/$CL$4)</f>
        <v>0</v>
      </c>
      <c r="CV20" s="8">
        <v>0</v>
      </c>
      <c r="CW20" s="69">
        <f t="shared" ref="CW20" si="258">(CM20/$CL$4)</f>
        <v>0</v>
      </c>
      <c r="CX20" s="69">
        <f t="shared" ref="CX20" si="259">((CM20-CV20)/$CL$4)</f>
        <v>0</v>
      </c>
      <c r="CY20" s="149">
        <f t="shared" ref="CY20" si="260">IF((AND(CN20=0,CP20=0)),0,(CP20+CV20)/(CN20+CP20+CV20))</f>
        <v>1</v>
      </c>
      <c r="CZ20" s="149">
        <f t="shared" ref="CZ20" si="261">CV20/$CL$4</f>
        <v>0</v>
      </c>
      <c r="DA20" s="69">
        <f t="shared" ref="DA20" si="262">(DD20/($CL$4*DE20))</f>
        <v>0</v>
      </c>
      <c r="DB20" s="6"/>
      <c r="DC20" s="6">
        <f t="shared" ref="DC20" si="263">SUM(CN20:CP20,CR20,CT20)</f>
        <v>720</v>
      </c>
      <c r="DD20" s="8">
        <v>0</v>
      </c>
      <c r="DE20" s="8">
        <v>450</v>
      </c>
      <c r="DH20" s="17">
        <v>2</v>
      </c>
      <c r="DI20" s="8">
        <v>0</v>
      </c>
      <c r="DJ20" s="8">
        <v>0</v>
      </c>
      <c r="DK20" s="8">
        <v>0</v>
      </c>
      <c r="DL20" s="8">
        <v>0</v>
      </c>
      <c r="DM20" s="69">
        <f>(DL20/$DH$4)</f>
        <v>0</v>
      </c>
      <c r="DN20" s="8">
        <v>744</v>
      </c>
      <c r="DO20" s="69">
        <f>(DN20/$DH$4)</f>
        <v>1</v>
      </c>
      <c r="DP20" s="6">
        <v>0</v>
      </c>
      <c r="DQ20" s="69">
        <f>(DP20/$DH$4)</f>
        <v>0</v>
      </c>
      <c r="DR20" s="8">
        <v>0</v>
      </c>
      <c r="DS20" s="69">
        <f t="shared" ref="DS20" si="264">(DI20/$X$4)</f>
        <v>0</v>
      </c>
      <c r="DT20" s="69">
        <f t="shared" ref="DT20" si="265">((DI20-DR20)/$DH$4)</f>
        <v>0</v>
      </c>
      <c r="DU20" s="149">
        <f t="shared" ref="DU20" si="266">IF((AND(DJ20=0,DL20=0)),0,(DL20+DR20)/(DJ20+DL20+DR20))</f>
        <v>0</v>
      </c>
      <c r="DV20" s="149">
        <f t="shared" ref="DV20" si="267">DR20/$DH$4</f>
        <v>0</v>
      </c>
      <c r="DW20" s="69">
        <f t="shared" ref="DW20" si="268">(DZ20/($DH$4*EA20))</f>
        <v>0</v>
      </c>
      <c r="DX20" s="69"/>
      <c r="DY20" s="6">
        <f t="shared" ref="DY20" si="269">SUM(DJ20:DL20,DN20,DP20)</f>
        <v>744</v>
      </c>
      <c r="DZ20" s="8">
        <v>0</v>
      </c>
      <c r="EA20" s="8">
        <v>450</v>
      </c>
      <c r="ED20" s="17">
        <v>2</v>
      </c>
      <c r="EE20" s="8">
        <v>0</v>
      </c>
      <c r="EF20" s="8">
        <v>0</v>
      </c>
      <c r="EG20" s="8">
        <v>0</v>
      </c>
      <c r="EH20" s="8">
        <v>0</v>
      </c>
      <c r="EI20" s="6">
        <f>(EH20/$ED$4)</f>
        <v>0</v>
      </c>
      <c r="EJ20" s="8">
        <v>744</v>
      </c>
      <c r="EK20" s="6">
        <f>(EJ20/$ED$4)</f>
        <v>1</v>
      </c>
      <c r="EL20" s="6">
        <v>0</v>
      </c>
      <c r="EM20" s="6">
        <f>(EL20/$ED$4)</f>
        <v>0</v>
      </c>
      <c r="EN20" s="8">
        <v>0</v>
      </c>
      <c r="EO20" s="69">
        <f>(EE20/$X$4)</f>
        <v>0</v>
      </c>
      <c r="EP20" s="69">
        <f>((EE20-EN20)/$ED$4)</f>
        <v>0</v>
      </c>
      <c r="EQ20" s="149">
        <f>IF((AND(EF20=0,EH20=0)),0,(EH20+EN20)/(EF20+EH20+EN20))</f>
        <v>0</v>
      </c>
      <c r="ER20" s="149">
        <f>EN20/$ED$4</f>
        <v>0</v>
      </c>
      <c r="ES20" s="69">
        <f>(EV20/($ED$4*EW20))</f>
        <v>0</v>
      </c>
      <c r="ET20" s="6"/>
      <c r="EU20" s="6">
        <f t="shared" ref="EU20" si="270">SUM(EF20:EH20,EJ20,EL20)</f>
        <v>744</v>
      </c>
      <c r="EV20" s="8">
        <v>0</v>
      </c>
      <c r="EW20" s="8">
        <v>450</v>
      </c>
      <c r="EZ20" s="17">
        <v>2</v>
      </c>
      <c r="FA20" s="6">
        <v>3.5</v>
      </c>
      <c r="FB20" s="6">
        <v>3.5</v>
      </c>
      <c r="FC20" s="15">
        <v>0</v>
      </c>
      <c r="FD20" s="8">
        <v>0</v>
      </c>
      <c r="FE20" s="6">
        <f>(FD20/$EZ$4)</f>
        <v>0</v>
      </c>
      <c r="FF20" s="8">
        <v>668.5</v>
      </c>
      <c r="FG20" s="6">
        <f>(FF20/$EZ$4)</f>
        <v>0.99479166666666663</v>
      </c>
      <c r="FH20" s="6">
        <v>0</v>
      </c>
      <c r="FI20" s="6">
        <f>(FH20/$EZ$4)</f>
        <v>0</v>
      </c>
      <c r="FJ20" s="8">
        <v>0</v>
      </c>
      <c r="FK20" s="69">
        <f>(FA20/$X$4)</f>
        <v>4.7043010752688174E-3</v>
      </c>
      <c r="FL20" s="69">
        <f>((FA20-FJ20)/$EZ$4)</f>
        <v>5.208333333333333E-3</v>
      </c>
      <c r="FM20" s="149">
        <f>IF((AND(FB20=0,FD20=0)),0,(FD20+FJ20)/(FB20+FD20+FJ20))</f>
        <v>0</v>
      </c>
      <c r="FN20" s="149">
        <f>FJ20/$EZ$4</f>
        <v>0</v>
      </c>
      <c r="FO20" s="69">
        <f>(FR20/($EZ$4*FS20))</f>
        <v>6.117724867724868E-4</v>
      </c>
      <c r="FP20" s="6"/>
      <c r="FQ20" s="6">
        <f t="shared" ref="FQ20" si="271">SUM(FB20:FD20,FF20,FH20)</f>
        <v>672</v>
      </c>
      <c r="FR20" s="8">
        <v>185</v>
      </c>
      <c r="FS20" s="8">
        <v>450</v>
      </c>
      <c r="FV20" s="17">
        <v>2</v>
      </c>
      <c r="FW20" s="8">
        <v>0</v>
      </c>
      <c r="FX20" s="8">
        <v>0</v>
      </c>
      <c r="FY20" s="8">
        <v>0</v>
      </c>
      <c r="FZ20" s="8">
        <v>744</v>
      </c>
      <c r="GA20" s="69">
        <f>(FZ20/$FV$4)</f>
        <v>1</v>
      </c>
      <c r="GB20" s="8">
        <v>0</v>
      </c>
      <c r="GC20" s="69">
        <f>(GB20/$FV$4)</f>
        <v>0</v>
      </c>
      <c r="GD20" s="6">
        <v>0</v>
      </c>
      <c r="GE20" s="69">
        <f>(GD20/$FV$4)</f>
        <v>0</v>
      </c>
      <c r="GF20" s="8">
        <v>0</v>
      </c>
      <c r="GG20" s="69">
        <f>(FW20/$X$4)</f>
        <v>0</v>
      </c>
      <c r="GH20" s="69">
        <f>((FW20-GF20)/$FV$4)</f>
        <v>0</v>
      </c>
      <c r="GI20" s="149">
        <f>IF((AND(FX20=0,FZ20=0)),0,(FZ20+GF20)/(FX20+FZ20+GF20))</f>
        <v>1</v>
      </c>
      <c r="GJ20" s="149">
        <f t="shared" ref="GJ20" si="272">GF20/$FV$4</f>
        <v>0</v>
      </c>
      <c r="GK20" s="69">
        <f>(GN20/($FV$4*GO20))</f>
        <v>0</v>
      </c>
      <c r="GL20" s="69"/>
      <c r="GM20" s="6">
        <f t="shared" ref="GM20" si="273">SUM(FX20:FZ20,GB20,GD20)</f>
        <v>744</v>
      </c>
      <c r="GN20" s="8">
        <v>0</v>
      </c>
      <c r="GO20" s="8">
        <v>450</v>
      </c>
      <c r="GR20" s="17">
        <v>2</v>
      </c>
      <c r="GS20" s="8">
        <v>0</v>
      </c>
      <c r="GT20" s="8">
        <v>0</v>
      </c>
      <c r="GU20" s="8">
        <v>0</v>
      </c>
      <c r="GV20" s="15">
        <v>720</v>
      </c>
      <c r="GW20" s="6">
        <f>(GV20/$GR$4)</f>
        <v>1</v>
      </c>
      <c r="GX20" s="8">
        <v>0</v>
      </c>
      <c r="GY20" s="6">
        <f>(GX20/$GR$4)</f>
        <v>0</v>
      </c>
      <c r="GZ20" s="15">
        <v>0</v>
      </c>
      <c r="HA20" s="6">
        <f>(GZ20/$GR$4)</f>
        <v>0</v>
      </c>
      <c r="HB20" s="8">
        <v>0</v>
      </c>
      <c r="HC20" s="69">
        <f>(GS20/$X$4)</f>
        <v>0</v>
      </c>
      <c r="HD20" s="69">
        <f>((GS20-HB20)/$GR$4)</f>
        <v>0</v>
      </c>
      <c r="HE20" s="149">
        <f>IF((AND(GT20=0,GV20=0)),0,(GV20+HB20)/(GT20+GV20))</f>
        <v>1</v>
      </c>
      <c r="HF20" s="149">
        <f>HB20/$GR$4</f>
        <v>0</v>
      </c>
      <c r="HG20" s="69">
        <f>(HJ20/($GR$4*HK20))</f>
        <v>0</v>
      </c>
      <c r="HH20" s="15">
        <v>0</v>
      </c>
      <c r="HI20" s="6">
        <f t="shared" ref="HI20" si="274">SUM(GT20:GV20,GX20,GZ20)</f>
        <v>720</v>
      </c>
      <c r="HJ20" s="8">
        <v>0</v>
      </c>
      <c r="HK20" s="8">
        <v>450</v>
      </c>
      <c r="HN20" s="17">
        <v>2</v>
      </c>
      <c r="HO20" s="8">
        <v>0</v>
      </c>
      <c r="HP20" s="8">
        <v>0</v>
      </c>
      <c r="HQ20" s="8">
        <v>0</v>
      </c>
      <c r="HR20" s="8">
        <v>744</v>
      </c>
      <c r="HS20" s="6">
        <f>(HR20/$HN$4)</f>
        <v>1</v>
      </c>
      <c r="HT20" s="8">
        <v>0</v>
      </c>
      <c r="HU20" s="6">
        <f>(HT20/$HN$4)</f>
        <v>0</v>
      </c>
      <c r="HV20" s="8">
        <v>0</v>
      </c>
      <c r="HW20" s="6">
        <f>(HV20/$HN$4)</f>
        <v>0</v>
      </c>
      <c r="HX20" s="8">
        <v>0</v>
      </c>
      <c r="HY20" s="69">
        <f>(HO20/$HN$4)</f>
        <v>0</v>
      </c>
      <c r="HZ20" s="69">
        <f>((HO20-HX20)/$HN$4)</f>
        <v>0</v>
      </c>
      <c r="IA20" s="164">
        <f>IF((AND(HP20=0,HR20=0)),0,(HR20+HX20)/(HP20+HR20+HX20))</f>
        <v>1</v>
      </c>
      <c r="IB20" s="149">
        <f t="shared" ref="IB20" si="275">HX20/$HN$4</f>
        <v>0</v>
      </c>
      <c r="IC20" s="69">
        <f>(IF20/($HN$4*IG20))</f>
        <v>0</v>
      </c>
      <c r="ID20" s="15">
        <v>0</v>
      </c>
      <c r="IE20" s="6">
        <f t="shared" ref="IE20" si="276">SUM(HP20:HR20,HT20,HV20)</f>
        <v>744</v>
      </c>
      <c r="IF20" s="8">
        <v>0</v>
      </c>
      <c r="IG20" s="8">
        <v>450</v>
      </c>
      <c r="IJ20" s="17">
        <v>2</v>
      </c>
      <c r="IK20" s="52">
        <v>218.07</v>
      </c>
      <c r="IL20" s="52">
        <v>218.07</v>
      </c>
      <c r="IM20" s="54">
        <v>0</v>
      </c>
      <c r="IN20" s="49">
        <v>501.93</v>
      </c>
      <c r="IO20" s="69">
        <f>(IN20/$IJ$4)</f>
        <v>0.69712499999999999</v>
      </c>
      <c r="IP20" s="8">
        <v>0</v>
      </c>
      <c r="IQ20" s="69">
        <f>(IP20/$IJ$4)</f>
        <v>0</v>
      </c>
      <c r="IR20" s="8">
        <v>0</v>
      </c>
      <c r="IS20" s="69">
        <f>(IR20/$IJ$4)</f>
        <v>0</v>
      </c>
      <c r="IT20" s="8">
        <v>57.97</v>
      </c>
      <c r="IU20" s="69">
        <f>(IK20/$IJ$4)</f>
        <v>0.30287500000000001</v>
      </c>
      <c r="IV20" s="164">
        <f>((IK20-IT20)/$IJ$4)</f>
        <v>0.22236111111111109</v>
      </c>
      <c r="IW20" s="164">
        <f>IF((AND(IL20=0,IN20=0)),0,(IN20+IT20)/(IL20+IN20+IT20))</f>
        <v>0.71969356144838481</v>
      </c>
      <c r="IX20" s="149">
        <f t="shared" ref="IX20" si="277">IT20/$IJ$4</f>
        <v>8.0513888888888885E-2</v>
      </c>
      <c r="IY20" s="69">
        <f>(JB20/($IJ$4*JC20))</f>
        <v>0.13402777777777777</v>
      </c>
      <c r="IZ20" s="15">
        <v>2</v>
      </c>
      <c r="JA20" s="15">
        <f t="shared" ref="JA20" si="278">SUM(IL20:IN20,IP20,IR20)</f>
        <v>720</v>
      </c>
      <c r="JB20" s="55">
        <v>43425</v>
      </c>
      <c r="JC20" s="8">
        <v>450</v>
      </c>
      <c r="JD20" s="42"/>
    </row>
    <row r="21" spans="1:264" ht="15" x14ac:dyDescent="0.25">
      <c r="B21" s="24" t="s">
        <v>39</v>
      </c>
      <c r="C21" s="98">
        <f>SUM(C19:C20)</f>
        <v>1150.3599999999999</v>
      </c>
      <c r="D21" s="98">
        <f t="shared" ref="D21" si="279">SUM(D19:D20)</f>
        <v>1150.3599999999999</v>
      </c>
      <c r="E21" s="25">
        <f>SUM(E19:E20)</f>
        <v>0</v>
      </c>
      <c r="F21" s="25">
        <f t="shared" ref="F21" si="280">SUM(F19:F20)</f>
        <v>337.64</v>
      </c>
      <c r="G21" s="78">
        <f>(G19*U19+G20*U20)/U21</f>
        <v>0.22690860215053762</v>
      </c>
      <c r="H21" s="25">
        <f t="shared" ref="H21:L21" si="281">SUM(H19:H20)</f>
        <v>0</v>
      </c>
      <c r="I21" s="78">
        <f>(I19*U19+I20*U20)/U21</f>
        <v>0</v>
      </c>
      <c r="J21" s="26">
        <f>SUM(J19:J20)</f>
        <v>0</v>
      </c>
      <c r="K21" s="78">
        <f>(K19*U19+K20*U20)/U21</f>
        <v>0</v>
      </c>
      <c r="L21" s="25">
        <f t="shared" si="281"/>
        <v>377.6</v>
      </c>
      <c r="M21" s="78">
        <f>(M19*U19+M20*U20)/U21</f>
        <v>0.77309139784946235</v>
      </c>
      <c r="N21" s="81">
        <f>(N19*U19+N20*U20)/U21</f>
        <v>0.51932795698924727</v>
      </c>
      <c r="O21" s="81">
        <f>(O19*U19+O20*U20)/U21</f>
        <v>0.38326458911133549</v>
      </c>
      <c r="P21" s="81">
        <f>(P19*U19+P20*U20)/U21</f>
        <v>0.25376344086021507</v>
      </c>
      <c r="Q21" s="81">
        <f>(Q19*U19+Q20*U20)/U21</f>
        <v>0.38972520908004776</v>
      </c>
      <c r="R21" s="25">
        <f t="shared" ref="R21" si="282">SUM(R19:R20)</f>
        <v>4</v>
      </c>
      <c r="S21" s="30">
        <f>SUM(S19:S20)</f>
        <v>1488</v>
      </c>
      <c r="T21" s="35">
        <f>SUM(T19:T20)</f>
        <v>260960</v>
      </c>
      <c r="U21" s="28">
        <f>SUM(U19:U20)</f>
        <v>900</v>
      </c>
      <c r="V21" s="15"/>
      <c r="X21" s="32" t="s">
        <v>39</v>
      </c>
      <c r="Y21" s="29">
        <f>SUM(Y19:Y20)</f>
        <v>871.34999999999991</v>
      </c>
      <c r="Z21" s="29">
        <f t="shared" ref="Z21" si="283">SUM(Z19:Z20)</f>
        <v>871.34999999999991</v>
      </c>
      <c r="AA21" s="29">
        <f>SUM(AA19:AA20)</f>
        <v>0</v>
      </c>
      <c r="AB21" s="29">
        <f t="shared" ref="AB21" si="284">SUM(AB19:AB20)</f>
        <v>571.9</v>
      </c>
      <c r="AC21" s="79">
        <f>(AC19*AQ19+AC20*AQ20)/AQ21</f>
        <v>0.38434139784946242</v>
      </c>
      <c r="AD21" s="29">
        <f>SUM(AD19:AD20)</f>
        <v>44.75</v>
      </c>
      <c r="AE21" s="79">
        <f>(AE19*AQ19+AE20*AQ20)/AQ21</f>
        <v>3.0073924731182797E-2</v>
      </c>
      <c r="AF21" s="30">
        <f>SUM(AF19:AF20)</f>
        <v>0</v>
      </c>
      <c r="AG21" s="79">
        <f>(AG19*AQ19+AG20*AQ20)/AQ21</f>
        <v>0</v>
      </c>
      <c r="AH21" s="29">
        <f>SUM(AH19:AH20)</f>
        <v>294</v>
      </c>
      <c r="AI21" s="78">
        <f>(AI19*AQ19+AI20*AQ20)/AQ21</f>
        <v>0.58558467741935472</v>
      </c>
      <c r="AJ21" s="79">
        <f>(AJ19*AQ19+AJ20*AQ20)/AQ21</f>
        <v>0.38800403225806451</v>
      </c>
      <c r="AK21" s="79">
        <f>(AK19*AQ19+AK20*AQ20)/AQ21</f>
        <v>0.51713776022986546</v>
      </c>
      <c r="AL21" s="79">
        <f>(AL19*AQ19+AL20*AQ20)/AQ21</f>
        <v>0.19758064516129031</v>
      </c>
      <c r="AM21" s="81">
        <f>(AM19*AQ19+AM20*AQ20)/AQ21</f>
        <v>0.26158154121863803</v>
      </c>
      <c r="AN21" s="29">
        <f>SUM(AN19:AN20)</f>
        <v>5</v>
      </c>
      <c r="AO21" s="30">
        <f>SUM(AO19:AO20)</f>
        <v>1488</v>
      </c>
      <c r="AP21" s="27">
        <f>SUM(AP19:AP20)</f>
        <v>175155</v>
      </c>
      <c r="AQ21" s="31">
        <f>SUM(AQ19:AQ20)</f>
        <v>900</v>
      </c>
      <c r="AR21" s="15"/>
      <c r="AT21" s="32" t="s">
        <v>39</v>
      </c>
      <c r="AU21" s="25">
        <f>SUM(AU19:AU20)</f>
        <v>425.75</v>
      </c>
      <c r="AV21" s="25">
        <f t="shared" ref="AV21:AX21" si="285">SUM(AV19:AV20)</f>
        <v>425.75</v>
      </c>
      <c r="AW21" s="25">
        <f>SUM(AW19:AW20)</f>
        <v>0</v>
      </c>
      <c r="AX21" s="98">
        <f t="shared" si="285"/>
        <v>1014.25</v>
      </c>
      <c r="AY21" s="78">
        <f>(AY19*BM19+AY20*BM20)/BM21</f>
        <v>0.70434027777777775</v>
      </c>
      <c r="AZ21" s="25">
        <f t="shared" ref="AZ21:BD21" si="286">SUM(AZ19:AZ20)</f>
        <v>0</v>
      </c>
      <c r="BA21" s="78">
        <f>(BA19*BM19+BA20*BM20)/BM21</f>
        <v>0</v>
      </c>
      <c r="BB21" s="26">
        <f>SUM(BB19:BB20)</f>
        <v>0</v>
      </c>
      <c r="BC21" s="79">
        <f>(BC19*BM19+BC20*BM20)/BM21</f>
        <v>0</v>
      </c>
      <c r="BD21" s="25">
        <f t="shared" si="286"/>
        <v>138.26</v>
      </c>
      <c r="BE21" s="78">
        <f>(BE19*BM19+BE20*BM20)/BM21</f>
        <v>0.2956597222222222</v>
      </c>
      <c r="BF21" s="81">
        <f>(BF19*BM19+BF20*BM20)/BM21</f>
        <v>0.19964583333333333</v>
      </c>
      <c r="BG21" s="81">
        <f>(BG19*BM19+BG20*BM20)/BM21</f>
        <v>0.75196910027264463</v>
      </c>
      <c r="BH21" s="81">
        <f>(BH19*BM19+BH20*BM20)/BM21</f>
        <v>9.6013888888888885E-2</v>
      </c>
      <c r="BI21" s="81">
        <f>(BI19*BM19+BI20*BM20)/BM21</f>
        <v>0.14152006172839507</v>
      </c>
      <c r="BJ21" s="149"/>
      <c r="BK21" s="30">
        <f>SUM(BK19:BK20)</f>
        <v>1440</v>
      </c>
      <c r="BL21" s="33">
        <f>SUM(BL19:BL20)</f>
        <v>91705</v>
      </c>
      <c r="BM21" s="31">
        <f>SUM(BM19:BM20)</f>
        <v>900</v>
      </c>
      <c r="BN21" s="15"/>
      <c r="BP21" s="32" t="s">
        <v>39</v>
      </c>
      <c r="BQ21" s="25">
        <f>SUM(BQ19:BQ20)</f>
        <v>512.32000000000005</v>
      </c>
      <c r="BR21" s="25">
        <f t="shared" ref="BR21:BT21" si="287">SUM(BR19:BR20)</f>
        <v>512.32000000000005</v>
      </c>
      <c r="BS21" s="25">
        <f>SUM(BS19:BS20)</f>
        <v>0</v>
      </c>
      <c r="BT21" s="25">
        <f t="shared" si="287"/>
        <v>231.68</v>
      </c>
      <c r="BU21" s="78">
        <f>(BU19*CI19+BU20*CI20)/CI21</f>
        <v>0.1556989247311828</v>
      </c>
      <c r="BV21" s="25">
        <f t="shared" ref="BV21:BZ21" si="288">SUM(BV19:BV20)</f>
        <v>744</v>
      </c>
      <c r="BW21" s="78">
        <f>(BW19*CI19+BW20*CI20)/CI21</f>
        <v>0.5</v>
      </c>
      <c r="BX21" s="26">
        <f>SUM(BX19:BX20)</f>
        <v>0</v>
      </c>
      <c r="BY21" s="79">
        <f>(BY19*CI19+BY20*CI20)/CI21</f>
        <v>0</v>
      </c>
      <c r="BZ21" s="25">
        <f t="shared" si="288"/>
        <v>225.6</v>
      </c>
      <c r="CA21" s="78">
        <f>(CA19*CI19+CA20*CI20)/CI21</f>
        <v>0.34430107526881726</v>
      </c>
      <c r="CB21" s="81">
        <f>(CB19*CI19+CB20*CI20)/CI21</f>
        <v>0.19268817204301078</v>
      </c>
      <c r="CC21" s="81">
        <f>(CC19*CI19+CC20*CI20)/CI21</f>
        <v>0.23580858085808579</v>
      </c>
      <c r="CD21" s="81">
        <f>(CD19*CI19+CD20*CI20)/CI21</f>
        <v>0.15161290322580645</v>
      </c>
      <c r="CE21" s="81">
        <f>(CE19*CI19+CE20*CI20)/CI21</f>
        <v>0.16765979689366786</v>
      </c>
      <c r="CF21" s="149"/>
      <c r="CG21" s="33">
        <f>SUM(CG19:CG20)</f>
        <v>1488</v>
      </c>
      <c r="CH21" s="33">
        <f>SUM(CH19:CH20)</f>
        <v>112265</v>
      </c>
      <c r="CI21" s="31">
        <f>SUM(CI19:CI20)</f>
        <v>900</v>
      </c>
      <c r="CJ21" s="15"/>
      <c r="CL21" s="32" t="s">
        <v>39</v>
      </c>
      <c r="CM21" s="25">
        <f>SUM(CM19:CM20)</f>
        <v>720</v>
      </c>
      <c r="CN21" s="25">
        <f t="shared" ref="CN21:CP21" si="289">SUM(CN19:CN20)</f>
        <v>720</v>
      </c>
      <c r="CO21" s="25">
        <f>SUM(CO19:CO20)</f>
        <v>0</v>
      </c>
      <c r="CP21" s="25">
        <f t="shared" si="289"/>
        <v>720</v>
      </c>
      <c r="CQ21" s="78">
        <f>(CQ19*DE19+CQ20*DE20)/DE21</f>
        <v>0.5</v>
      </c>
      <c r="CR21" s="25">
        <f t="shared" ref="CR21:CV21" si="290">SUM(CR19:CR20)</f>
        <v>0</v>
      </c>
      <c r="CS21" s="78">
        <f>(CS19*DE19+CS20*DE20)/DE21</f>
        <v>0</v>
      </c>
      <c r="CT21" s="26">
        <f>SUM(CT19:CT20)</f>
        <v>0</v>
      </c>
      <c r="CU21" s="78">
        <f>(CU19*DE19+CU20*DE20)/DE21</f>
        <v>0</v>
      </c>
      <c r="CV21" s="25">
        <f t="shared" si="290"/>
        <v>0</v>
      </c>
      <c r="CW21" s="78">
        <f>(CW19*DE19+CW20*DE20)/DE21</f>
        <v>0.5</v>
      </c>
      <c r="CX21" s="81">
        <f>(CX19*DE19+CX20*DE20)/DE21</f>
        <v>0.5</v>
      </c>
      <c r="CY21" s="81">
        <f>(CY19*DE19+CY20*DE20)/DE21</f>
        <v>0.5</v>
      </c>
      <c r="CZ21" s="81">
        <f>(CZ19*DE19+CZ20*DE20)/DE21</f>
        <v>0</v>
      </c>
      <c r="DA21" s="81">
        <f>(DA19*DE19+DA20*DE20)/DE21</f>
        <v>0.21294753086419754</v>
      </c>
      <c r="DB21" s="149"/>
      <c r="DC21" s="30">
        <f>SUM(DC19:DC20)</f>
        <v>1440</v>
      </c>
      <c r="DD21" s="33">
        <f>SUM(DD19:DD20)</f>
        <v>137990</v>
      </c>
      <c r="DE21" s="31">
        <f>SUM(DE19:DE20)</f>
        <v>900</v>
      </c>
      <c r="DF21" s="15"/>
      <c r="DH21" s="32" t="s">
        <v>39</v>
      </c>
      <c r="DI21" s="25">
        <f>SUM(DI19:DI20)</f>
        <v>0</v>
      </c>
      <c r="DJ21" s="25">
        <f t="shared" ref="DJ21:DL21" si="291">SUM(DJ19:DJ20)</f>
        <v>0</v>
      </c>
      <c r="DK21" s="25">
        <f>SUM(DK19:DK20)</f>
        <v>0</v>
      </c>
      <c r="DL21" s="25">
        <f t="shared" si="291"/>
        <v>0</v>
      </c>
      <c r="DM21" s="78">
        <f>(DM19*EA19+DM20*EA20)/EA21</f>
        <v>0</v>
      </c>
      <c r="DN21" s="25">
        <f t="shared" ref="DN21:DR21" si="292">SUM(DN19:DN20)</f>
        <v>1488</v>
      </c>
      <c r="DO21" s="78">
        <f>(DO19*EA19+DO20*EA20)/EA21</f>
        <v>1</v>
      </c>
      <c r="DP21" s="26">
        <f>SUM(DP19:DP20)</f>
        <v>0</v>
      </c>
      <c r="DQ21" s="79">
        <f>(DQ19*EA19+DQ20*EA20)/EA21</f>
        <v>0</v>
      </c>
      <c r="DR21" s="25">
        <f t="shared" si="292"/>
        <v>0</v>
      </c>
      <c r="DS21" s="78">
        <f>(DS19*EA19+DS20*EA20)/EA21</f>
        <v>0</v>
      </c>
      <c r="DT21" s="81">
        <f>(DT19*EA19+DT20*EA20)/EA21</f>
        <v>0</v>
      </c>
      <c r="DU21" s="81">
        <f>(DU19*EA19+DU20*EA20)/EA21</f>
        <v>0</v>
      </c>
      <c r="DV21" s="81">
        <f>(DV19*EA19+DV20*EA20)/EA21</f>
        <v>0</v>
      </c>
      <c r="DW21" s="81">
        <f>(DW19*EA19+DW20*EA20)/EA21</f>
        <v>0</v>
      </c>
      <c r="DX21" s="149"/>
      <c r="DY21" s="30">
        <f>SUM(DY19:DY20)</f>
        <v>1488</v>
      </c>
      <c r="DZ21" s="29">
        <f>SUM(DZ19:DZ20)</f>
        <v>0</v>
      </c>
      <c r="EA21" s="31">
        <f>SUM(EA19:EA20)</f>
        <v>900</v>
      </c>
      <c r="EB21" s="15"/>
      <c r="ED21" s="32" t="s">
        <v>39</v>
      </c>
      <c r="EE21" s="25">
        <f>SUM(EE19:EE20)</f>
        <v>293.60000000000002</v>
      </c>
      <c r="EF21" s="25">
        <f t="shared" ref="EF21:EH21" si="293">SUM(EF19:EF20)</f>
        <v>293.60000000000002</v>
      </c>
      <c r="EG21" s="25">
        <f>SUM(EG19:EG20)</f>
        <v>0</v>
      </c>
      <c r="EH21" s="25">
        <f t="shared" si="293"/>
        <v>360.43</v>
      </c>
      <c r="EI21" s="78">
        <f>(EI19*EW19+EI20*EW20)/EW21</f>
        <v>0.24222446236559139</v>
      </c>
      <c r="EJ21" s="25">
        <f t="shared" ref="EJ21:EN21" si="294">SUM(EJ19:EJ20)</f>
        <v>833.97</v>
      </c>
      <c r="EK21" s="78">
        <f>(EK19*EW19+EK20*EW20)/EW21</f>
        <v>0.56046370967741943</v>
      </c>
      <c r="EL21" s="26">
        <f>SUM(EL19:EL20)</f>
        <v>0</v>
      </c>
      <c r="EM21" s="79">
        <f>(EM19*EW19+EM20*EW20)/EW21</f>
        <v>0</v>
      </c>
      <c r="EN21" s="25">
        <f t="shared" si="294"/>
        <v>136.15</v>
      </c>
      <c r="EO21" s="78">
        <f>(EO19*EW19+EO20*EW20)/EW21</f>
        <v>0.19731182795698926</v>
      </c>
      <c r="EP21" s="81">
        <f>(EP19*EW19+EP20*EW20)/EW21</f>
        <v>0.10581317204301076</v>
      </c>
      <c r="EQ21" s="81">
        <f>(EQ19*EW19+EQ20*EW20)/EW21</f>
        <v>0.31421954491381721</v>
      </c>
      <c r="ER21" s="81"/>
      <c r="ES21" s="81">
        <f>(ES19*EW19+ES20*EW20)/EW21</f>
        <v>0.10049283154121864</v>
      </c>
      <c r="ET21" s="149"/>
      <c r="EU21" s="30">
        <f>SUM(EU19:EU20)</f>
        <v>1488</v>
      </c>
      <c r="EV21" s="33">
        <f>SUM(EV19:EV20)</f>
        <v>67290</v>
      </c>
      <c r="EW21" s="31">
        <f>SUM(EW19:EW20)</f>
        <v>900</v>
      </c>
      <c r="EX21" s="15"/>
      <c r="EZ21" s="24" t="s">
        <v>39</v>
      </c>
      <c r="FA21" s="25">
        <f>SUM(FA19:FA20)</f>
        <v>328.53</v>
      </c>
      <c r="FB21" s="25">
        <f t="shared" ref="FB21:FD21" si="295">SUM(FB19:FB20)</f>
        <v>328.53</v>
      </c>
      <c r="FC21" s="26">
        <f>SUM(FC19:FC20)</f>
        <v>0</v>
      </c>
      <c r="FD21" s="25">
        <f t="shared" si="295"/>
        <v>346.97</v>
      </c>
      <c r="FE21" s="78">
        <f>(FE19*FS19+FE20*FS20)/FS21</f>
        <v>0.25816220238095239</v>
      </c>
      <c r="FF21" s="25">
        <f t="shared" ref="FF21:FJ21" si="296">SUM(FF19:FF20)</f>
        <v>668.5</v>
      </c>
      <c r="FG21" s="78">
        <f>(FG19*FS19+FG20*FS20)/FS21</f>
        <v>0.49739583333333331</v>
      </c>
      <c r="FH21" s="26">
        <f>SUM(FH19:FH20)</f>
        <v>0</v>
      </c>
      <c r="FI21" s="79">
        <f>(FI19*FS19+FI20*FS20)/FS21</f>
        <v>0</v>
      </c>
      <c r="FJ21" s="25">
        <f t="shared" si="296"/>
        <v>122.77</v>
      </c>
      <c r="FK21" s="78">
        <f>(FK19*FS19+FK20*FS20)/FS21</f>
        <v>0.22078629032258063</v>
      </c>
      <c r="FL21" s="81">
        <f>(FL19*FS19+FL20*FS20)/FS21</f>
        <v>0.15309523809523809</v>
      </c>
      <c r="FM21" s="81">
        <f>(FM19*FS19+FM20*FS20)/FS21</f>
        <v>0.2955194584596802</v>
      </c>
      <c r="FN21" s="81"/>
      <c r="FO21" s="81">
        <f>(FO19*FS19+FO20*FS20)/FS21</f>
        <v>0.12900132275132273</v>
      </c>
      <c r="FP21" s="149"/>
      <c r="FQ21" s="30">
        <f>SUM(FQ19:FQ20)</f>
        <v>1344</v>
      </c>
      <c r="FR21" s="33">
        <f>SUM(FR19:FR20)</f>
        <v>78020</v>
      </c>
      <c r="FS21" s="31">
        <f>SUM(FS19:FS20)</f>
        <v>900</v>
      </c>
      <c r="FT21" s="15"/>
      <c r="FV21" s="24" t="s">
        <v>39</v>
      </c>
      <c r="FW21" s="25">
        <f>SUM(FW19:FW20)</f>
        <v>0</v>
      </c>
      <c r="FX21" s="25">
        <f t="shared" ref="FX21:FZ21" si="297">SUM(FX19:FX20)</f>
        <v>0</v>
      </c>
      <c r="FY21" s="25">
        <f>SUM(FY19:FY20)</f>
        <v>0</v>
      </c>
      <c r="FZ21" s="25">
        <f t="shared" si="297"/>
        <v>1488</v>
      </c>
      <c r="GA21" s="78">
        <f>(GA19*GO19+GA20*GO20)/GO21</f>
        <v>1</v>
      </c>
      <c r="GB21" s="25">
        <f t="shared" ref="GB21:GF21" si="298">SUM(GB19:GB20)</f>
        <v>0</v>
      </c>
      <c r="GC21" s="78">
        <f>(GC19*GO19+GC20*GO20)/GO21</f>
        <v>0</v>
      </c>
      <c r="GD21" s="26">
        <f>SUM(GD19:GD20)</f>
        <v>0</v>
      </c>
      <c r="GE21" s="79">
        <f>(GE19*GO19+GE20*GO20)/GO21</f>
        <v>0</v>
      </c>
      <c r="GF21" s="25">
        <f t="shared" si="298"/>
        <v>0</v>
      </c>
      <c r="GG21" s="78">
        <f>(GG19*GO19+GG20*GO20)/GO21</f>
        <v>0</v>
      </c>
      <c r="GH21" s="81">
        <f>(GH19*GO19+GH20*GO20)/GO21</f>
        <v>0</v>
      </c>
      <c r="GI21" s="81">
        <f>(GI19*GO19+GI20*GO20)/GO21</f>
        <v>1</v>
      </c>
      <c r="GJ21" s="81">
        <f>(GJ19*GO19+GJ20*GO20)/GO21</f>
        <v>0</v>
      </c>
      <c r="GK21" s="81">
        <f>(GK19*GO19+GK20*GO20)/GO21</f>
        <v>0</v>
      </c>
      <c r="GL21" s="149"/>
      <c r="GM21" s="30">
        <f>SUM(GM19:GM20)</f>
        <v>1488</v>
      </c>
      <c r="GN21" s="29">
        <f>SUM(GN19:GN20)</f>
        <v>0</v>
      </c>
      <c r="GO21" s="31">
        <f>SUM(GO19:GO20)</f>
        <v>900</v>
      </c>
      <c r="GP21" s="15"/>
      <c r="GR21" s="32" t="s">
        <v>39</v>
      </c>
      <c r="GS21" s="25">
        <f>SUM(GS19:GS20)</f>
        <v>0</v>
      </c>
      <c r="GT21" s="25">
        <f t="shared" ref="GT21:GV21" si="299">SUM(GT19:GT20)</f>
        <v>0</v>
      </c>
      <c r="GU21" s="25">
        <f>SUM(GU19:GU20)</f>
        <v>0</v>
      </c>
      <c r="GV21" s="25">
        <f t="shared" si="299"/>
        <v>1440</v>
      </c>
      <c r="GW21" s="78">
        <f>(GW19*$HK$19+GW20*$HK$20)/$HK$21</f>
        <v>1</v>
      </c>
      <c r="GX21" s="25">
        <f t="shared" ref="GX21:HB21" si="300">SUM(GX19:GX20)</f>
        <v>0</v>
      </c>
      <c r="GY21" s="78">
        <f>(GY19*$HK$19+GY20*$HK$20)/$HK$21</f>
        <v>0</v>
      </c>
      <c r="GZ21" s="28">
        <f>SUM(GZ19:GZ20)</f>
        <v>0</v>
      </c>
      <c r="HA21" s="78">
        <f>(HA19*$HK$19+HA20*$HK$20)/$HK$21</f>
        <v>0</v>
      </c>
      <c r="HB21" s="25">
        <f t="shared" si="300"/>
        <v>0</v>
      </c>
      <c r="HC21" s="78">
        <f>(HC19*HK19+HC20*HK20)/HK21</f>
        <v>0</v>
      </c>
      <c r="HD21" s="78">
        <f>(HD19*$HK$19+HD20*$HK$20)/$HK$21</f>
        <v>0</v>
      </c>
      <c r="HE21" s="81">
        <f>(HE19*HK19+HE20*HK20)/HK21</f>
        <v>1</v>
      </c>
      <c r="HF21" s="78">
        <f>(HF19*$HK$19+HF20*$HK$20)/$HK$21</f>
        <v>0</v>
      </c>
      <c r="HG21" s="81">
        <f>(HG19*HK19+HG20*HK20)/HK21</f>
        <v>0</v>
      </c>
      <c r="HH21" s="25">
        <f t="shared" ref="HH21" si="301">SUM(HH19:HH20)</f>
        <v>0</v>
      </c>
      <c r="HI21" s="30">
        <f>SUM(HI19:HI20)</f>
        <v>1440</v>
      </c>
      <c r="HJ21" s="29">
        <f>SUM(HJ19:HJ20)</f>
        <v>0</v>
      </c>
      <c r="HK21" s="31">
        <f>SUM(HK19:HK20)</f>
        <v>900</v>
      </c>
      <c r="HL21" s="15"/>
      <c r="HN21" s="32" t="s">
        <v>39</v>
      </c>
      <c r="HO21" s="25">
        <f>SUM(HO19:HO20)</f>
        <v>0</v>
      </c>
      <c r="HP21" s="25">
        <f t="shared" ref="HP21:HR21" si="302">SUM(HP19:HP20)</f>
        <v>0</v>
      </c>
      <c r="HQ21" s="25">
        <f>SUM(HQ19:HQ20)</f>
        <v>0</v>
      </c>
      <c r="HR21" s="25">
        <f t="shared" si="302"/>
        <v>1488</v>
      </c>
      <c r="HS21" s="78">
        <f>(HS19*IG19+HS20*IG20)/IG21</f>
        <v>1</v>
      </c>
      <c r="HT21" s="25">
        <f t="shared" ref="HT21:HX21" si="303">SUM(HT19:HT20)</f>
        <v>0</v>
      </c>
      <c r="HU21" s="78">
        <f>(HU19*IG19+HU20*IG20)/IG21</f>
        <v>0</v>
      </c>
      <c r="HV21" s="26">
        <f>SUM(HV19:HV20)</f>
        <v>0</v>
      </c>
      <c r="HW21" s="78">
        <f>(HW19*IG19+HW20*IG20)/IG21</f>
        <v>0</v>
      </c>
      <c r="HX21" s="25">
        <f t="shared" si="303"/>
        <v>0</v>
      </c>
      <c r="HY21" s="78">
        <f>(HY19*IG19+HY20*IG20)/IG21</f>
        <v>0</v>
      </c>
      <c r="HZ21" s="81">
        <f>(HZ19*IG19+HZ20*IG20)/IG21</f>
        <v>0</v>
      </c>
      <c r="IA21" s="81">
        <f>(IA19*IG19+IA20*IG20)/IG21</f>
        <v>1</v>
      </c>
      <c r="IB21" s="81">
        <f>(IB19*IG19+IB20*IG20)/IG21</f>
        <v>0</v>
      </c>
      <c r="IC21" s="81">
        <f>(IC19*IG19+IC20*IG20)/IG21</f>
        <v>0</v>
      </c>
      <c r="ID21" s="25">
        <f t="shared" ref="ID21" si="304">SUM(ID19:ID20)</f>
        <v>0</v>
      </c>
      <c r="IE21" s="30">
        <f>SUM(IE19:IE20)</f>
        <v>1488</v>
      </c>
      <c r="IF21" s="29">
        <f>SUM(IF19:IF20)</f>
        <v>0</v>
      </c>
      <c r="IG21" s="31">
        <f>SUM(IG19:IG20)</f>
        <v>900</v>
      </c>
      <c r="IH21" s="15"/>
      <c r="IJ21" s="32" t="s">
        <v>84</v>
      </c>
      <c r="IK21" s="29">
        <f>SUM(IK19:IK20)</f>
        <v>218.07</v>
      </c>
      <c r="IL21" s="29">
        <f t="shared" ref="IL21:IM21" si="305">SUM(IL19:IL20)</f>
        <v>218.07</v>
      </c>
      <c r="IM21" s="29">
        <f t="shared" si="305"/>
        <v>0</v>
      </c>
      <c r="IN21" s="29">
        <f t="shared" ref="IN21" si="306">SUM(IN19:IN20)</f>
        <v>1221.93</v>
      </c>
      <c r="IO21" s="78">
        <f>(IO19*JC19+IO20*JC20)/JC21</f>
        <v>0.8485625</v>
      </c>
      <c r="IP21" s="29">
        <f t="shared" ref="IP21" si="307">SUM(IP19:IP20)</f>
        <v>0</v>
      </c>
      <c r="IQ21" s="78">
        <f>(IQ19*JC19+IQ20*JC20)/JC21</f>
        <v>0</v>
      </c>
      <c r="IR21" s="29">
        <f t="shared" ref="IR21" si="308">SUM(IR19:IR20)</f>
        <v>0</v>
      </c>
      <c r="IS21" s="78">
        <f>(IS19*JC19+IS20*JC20)/JC21</f>
        <v>0</v>
      </c>
      <c r="IT21" s="29">
        <f t="shared" ref="IT21" si="309">SUM(IT19:IT20)</f>
        <v>57.97</v>
      </c>
      <c r="IU21" s="79">
        <f>(IU19*JC19+IU20*JC20)/JC21</f>
        <v>0.15143749999999997</v>
      </c>
      <c r="IV21" s="80">
        <f>(IV19*JC19+IV20*JC20)/JC21</f>
        <v>0.11118055555555555</v>
      </c>
      <c r="IW21" s="80">
        <f>(IW19*JC19+IW20*JC20)/JC21</f>
        <v>0.85984678072419241</v>
      </c>
      <c r="IX21" s="80">
        <f>(IX19*JC19+IX20*JC20)/JC21</f>
        <v>4.0256944444444442E-2</v>
      </c>
      <c r="IY21" s="80">
        <f>(IY19*JC19+IY20*JC20)/JC21</f>
        <v>6.7013888888888887E-2</v>
      </c>
      <c r="IZ21" s="152">
        <f>SUM(IZ19:IZ20)</f>
        <v>2</v>
      </c>
      <c r="JA21" s="31">
        <f>SUM(JA19:JA20)</f>
        <v>1440</v>
      </c>
      <c r="JB21" s="45">
        <f>SUM(JB19:JB20)</f>
        <v>43425</v>
      </c>
      <c r="JC21" s="31">
        <f>SUM(JC19:JC20)</f>
        <v>900</v>
      </c>
    </row>
    <row r="22" spans="1:264" ht="15" x14ac:dyDescent="0.25">
      <c r="A22" s="74"/>
      <c r="B22" s="129" t="s">
        <v>85</v>
      </c>
      <c r="C22" s="71">
        <f>SUM(C12,C15,C18,C21)</f>
        <v>4902.3099999999995</v>
      </c>
      <c r="D22" s="71">
        <f t="shared" ref="D22" si="310">SUM(D12,D15,D18,D21)</f>
        <v>4853.8099999999995</v>
      </c>
      <c r="E22" s="83">
        <f t="shared" ref="E22" si="311">SUM(E12,E15,E18,E21)</f>
        <v>48.5</v>
      </c>
      <c r="F22" s="71">
        <f t="shared" ref="F22:L22" si="312">SUM(F12,F15,F18,F21)</f>
        <v>3591.91</v>
      </c>
      <c r="G22" s="84"/>
      <c r="H22" s="71">
        <f t="shared" si="312"/>
        <v>8.5299999999999994</v>
      </c>
      <c r="I22" s="84"/>
      <c r="J22" s="71">
        <f t="shared" si="312"/>
        <v>425.25</v>
      </c>
      <c r="K22" s="84"/>
      <c r="L22" s="71">
        <f t="shared" si="312"/>
        <v>774.11</v>
      </c>
      <c r="M22" s="82"/>
      <c r="N22" s="114"/>
      <c r="O22" s="114"/>
      <c r="P22" s="114"/>
      <c r="Q22" s="114"/>
      <c r="R22" s="153">
        <f>SUM(R12,R15,R18,R21)</f>
        <v>14</v>
      </c>
      <c r="S22" s="84"/>
      <c r="T22" s="71">
        <f t="shared" ref="T22:U22" si="313">SUM(T12,T15,T18,T21)</f>
        <v>888666</v>
      </c>
      <c r="U22" s="71">
        <f t="shared" si="313"/>
        <v>2792</v>
      </c>
      <c r="V22" s="83"/>
      <c r="W22" s="74"/>
      <c r="X22" s="129" t="s">
        <v>85</v>
      </c>
      <c r="Y22" s="71">
        <f>SUM(Y12,Y15,Y18,Y21)</f>
        <v>5253.2099999999991</v>
      </c>
      <c r="Z22" s="71">
        <f t="shared" ref="Z22" si="314">SUM(Z12,Z15,Z18,Z21)</f>
        <v>5115.2099999999991</v>
      </c>
      <c r="AA22" s="83">
        <f t="shared" ref="AA22" si="315">SUM(AA12,AA15,AA18,AA21)</f>
        <v>138</v>
      </c>
      <c r="AB22" s="71">
        <f t="shared" ref="AB22:AF22" si="316">SUM(AB12,AB15,AB18,AB21)</f>
        <v>3630.0400000000004</v>
      </c>
      <c r="AC22" s="84"/>
      <c r="AD22" s="71">
        <f t="shared" si="316"/>
        <v>44.75</v>
      </c>
      <c r="AE22" s="84"/>
      <c r="AF22" s="84">
        <f t="shared" si="316"/>
        <v>0</v>
      </c>
      <c r="AG22" s="84"/>
      <c r="AH22" s="74"/>
      <c r="AI22" s="84"/>
      <c r="AJ22" s="84"/>
      <c r="AK22" s="84"/>
      <c r="AL22" s="84"/>
      <c r="AM22" s="112"/>
      <c r="AN22" s="153">
        <f>SUM(AN12,AN15,AN18,AN21)</f>
        <v>27</v>
      </c>
      <c r="AO22" s="84"/>
      <c r="AP22" s="71">
        <f t="shared" ref="AP22:AQ22" si="317">SUM(AP12,AP15,AP18,AP21)</f>
        <v>823049</v>
      </c>
      <c r="AQ22" s="71">
        <f t="shared" si="317"/>
        <v>2792</v>
      </c>
      <c r="AR22" s="83"/>
      <c r="AS22" s="74"/>
      <c r="AT22" s="129" t="s">
        <v>85</v>
      </c>
      <c r="AU22" s="71">
        <f>SUM(AU12,AU15,AU18,AU21)</f>
        <v>5321.55</v>
      </c>
      <c r="AV22" s="71">
        <f t="shared" ref="AV22" si="318">SUM(AV12,AV15,AV18,AV21)</f>
        <v>5321.55</v>
      </c>
      <c r="AW22" s="83">
        <f t="shared" ref="AW22" si="319">SUM(AW12,AW15,AW18,AW21)</f>
        <v>0</v>
      </c>
      <c r="AX22" s="71">
        <f t="shared" ref="AX22" si="320">SUM(AX12,AX15,AX18,AX21)</f>
        <v>3246.8500000000004</v>
      </c>
      <c r="AY22" s="84"/>
      <c r="AZ22" s="71">
        <f t="shared" ref="AZ22" si="321">SUM(AZ12,AZ15,AZ18,AZ21)</f>
        <v>71.599999999999994</v>
      </c>
      <c r="BA22" s="84"/>
      <c r="BB22" s="84">
        <f t="shared" ref="BB22" si="322">SUM(BB12,BB15,BB18,BB21)</f>
        <v>0</v>
      </c>
      <c r="BC22" s="84"/>
      <c r="BD22" s="71">
        <f t="shared" ref="BD22" si="323">SUM(BD12,BD15,BD18,BD21)</f>
        <v>562.73</v>
      </c>
      <c r="BE22" s="84"/>
      <c r="BF22" s="112"/>
      <c r="BG22" s="112"/>
      <c r="BH22" s="112"/>
      <c r="BI22" s="112"/>
      <c r="BJ22" s="112"/>
      <c r="BK22" s="84"/>
      <c r="BL22" s="71">
        <f t="shared" ref="BL22:BM22" si="324">SUM(BL12,BL15,BL18,BL21)</f>
        <v>821226</v>
      </c>
      <c r="BM22" s="71">
        <f t="shared" si="324"/>
        <v>2792</v>
      </c>
      <c r="BN22" s="83"/>
      <c r="BO22" s="74"/>
      <c r="BP22" s="129" t="s">
        <v>85</v>
      </c>
      <c r="BQ22" s="71">
        <f>SUM(BQ12,BQ15,BQ18,BQ21)</f>
        <v>4590.6499999999996</v>
      </c>
      <c r="BR22" s="71">
        <f t="shared" ref="BR22" si="325">SUM(BR12,BR15,BR18,BR21)</f>
        <v>4590.6499999999996</v>
      </c>
      <c r="BS22" s="83">
        <f t="shared" ref="BS22" si="326">SUM(BS12,BS15,BS18,BS21)</f>
        <v>0</v>
      </c>
      <c r="BT22" s="71">
        <f t="shared" ref="BT22:BZ22" si="327">SUM(BT12,BT15,BT18,BT21)</f>
        <v>3321.5499999999997</v>
      </c>
      <c r="BU22" s="84"/>
      <c r="BV22" s="71">
        <f t="shared" si="327"/>
        <v>890.2</v>
      </c>
      <c r="BW22" s="84"/>
      <c r="BX22" s="71">
        <f t="shared" si="327"/>
        <v>125.6</v>
      </c>
      <c r="BY22" s="84"/>
      <c r="BZ22" s="71">
        <f t="shared" si="327"/>
        <v>723.6</v>
      </c>
      <c r="CA22" s="84"/>
      <c r="CB22" s="112"/>
      <c r="CC22" s="112"/>
      <c r="CD22" s="112"/>
      <c r="CE22" s="112"/>
      <c r="CF22" s="112"/>
      <c r="CG22" s="84"/>
      <c r="CH22" s="71">
        <f t="shared" ref="CH22" si="328">SUM(CH12,CH15,CH18,CH21)</f>
        <v>755568</v>
      </c>
      <c r="CI22" s="71">
        <f t="shared" ref="CI22" si="329">SUM(CI12,CI15,CI18,CI21)</f>
        <v>2792</v>
      </c>
      <c r="CJ22" s="83"/>
      <c r="CK22" s="74"/>
      <c r="CL22" s="129" t="s">
        <v>85</v>
      </c>
      <c r="CM22" s="71">
        <f>SUM(CM12,CM15,CM18,CM21)</f>
        <v>4561.33</v>
      </c>
      <c r="CN22" s="71">
        <f t="shared" ref="CN22" si="330">SUM(CN12,CN15,CN18,CN21)</f>
        <v>4561.33</v>
      </c>
      <c r="CO22" s="83">
        <f t="shared" ref="CO22" si="331">SUM(CO12,CO15,CO18,CO21)</f>
        <v>0</v>
      </c>
      <c r="CP22" s="71">
        <f t="shared" ref="CP22:CV22" si="332">SUM(CP12,CP15,CP18,CP21)</f>
        <v>1888.47</v>
      </c>
      <c r="CQ22" s="84"/>
      <c r="CR22" s="71">
        <f t="shared" si="332"/>
        <v>1622</v>
      </c>
      <c r="CS22" s="84"/>
      <c r="CT22" s="71">
        <f t="shared" si="332"/>
        <v>568.19999999999993</v>
      </c>
      <c r="CU22" s="84"/>
      <c r="CV22" s="71">
        <f t="shared" si="332"/>
        <v>427</v>
      </c>
      <c r="CW22" s="84"/>
      <c r="CX22" s="112"/>
      <c r="CY22" s="112"/>
      <c r="CZ22" s="112"/>
      <c r="DA22" s="112"/>
      <c r="DB22" s="112"/>
      <c r="DC22" s="84"/>
      <c r="DD22" s="71">
        <f t="shared" ref="DD22" si="333">SUM(DD12,DD15,DD18,DD21)</f>
        <v>727586</v>
      </c>
      <c r="DE22" s="71">
        <f t="shared" ref="DE22" si="334">SUM(DE12,DE15,DE18,DE21)</f>
        <v>2792</v>
      </c>
      <c r="DF22" s="83"/>
      <c r="DG22" s="74"/>
      <c r="DH22" s="129" t="s">
        <v>85</v>
      </c>
      <c r="DI22" s="71">
        <f>SUM(DI12,DI15,DI18,DI21)</f>
        <v>3396.41</v>
      </c>
      <c r="DJ22" s="71">
        <f t="shared" ref="DJ22:DR22" si="335">SUM(DJ12,DJ15,DJ18,DJ21)</f>
        <v>3396.41</v>
      </c>
      <c r="DK22" s="83">
        <f t="shared" si="335"/>
        <v>0</v>
      </c>
      <c r="DL22" s="71">
        <f t="shared" si="335"/>
        <v>1067.5899999999999</v>
      </c>
      <c r="DM22" s="84"/>
      <c r="DN22" s="71">
        <f t="shared" si="335"/>
        <v>3720</v>
      </c>
      <c r="DO22" s="84"/>
      <c r="DP22" s="71">
        <f t="shared" si="335"/>
        <v>744</v>
      </c>
      <c r="DQ22" s="84"/>
      <c r="DR22" s="71">
        <f t="shared" si="335"/>
        <v>439.26</v>
      </c>
      <c r="DS22" s="84"/>
      <c r="DT22" s="112"/>
      <c r="DU22" s="112"/>
      <c r="DV22" s="112"/>
      <c r="DW22" s="112"/>
      <c r="DX22" s="112"/>
      <c r="DY22" s="71"/>
      <c r="DZ22" s="71">
        <f t="shared" ref="DZ22:EA22" si="336">SUM(DZ12,DZ15,DZ18,DZ21)</f>
        <v>528690</v>
      </c>
      <c r="EA22" s="113">
        <f t="shared" si="336"/>
        <v>2792</v>
      </c>
      <c r="EB22" s="83"/>
      <c r="EC22" s="74"/>
      <c r="ED22" s="129" t="s">
        <v>85</v>
      </c>
      <c r="EE22" s="71">
        <f>SUM(EE12,EE15,EE18,EE21)</f>
        <v>3926.02</v>
      </c>
      <c r="EF22" s="71">
        <f t="shared" ref="EF22" si="337">SUM(EF12,EF15,EF18,EF21)</f>
        <v>3914.02</v>
      </c>
      <c r="EG22" s="83">
        <f t="shared" ref="EG22" si="338">SUM(EG12,EG15,EG18,EG21)</f>
        <v>12</v>
      </c>
      <c r="EH22" s="71">
        <f t="shared" ref="EH22:EN22" si="339">SUM(EH12,EH15,EH18,EH21)</f>
        <v>1375.41</v>
      </c>
      <c r="EI22" s="84"/>
      <c r="EJ22" s="71">
        <f t="shared" si="339"/>
        <v>3065.9700000000003</v>
      </c>
      <c r="EK22" s="84"/>
      <c r="EL22" s="71">
        <f t="shared" si="339"/>
        <v>560.6</v>
      </c>
      <c r="EM22" s="84"/>
      <c r="EN22" s="71">
        <f t="shared" si="339"/>
        <v>1349.76</v>
      </c>
      <c r="EO22" s="82"/>
      <c r="EP22" s="114"/>
      <c r="EQ22" s="114"/>
      <c r="ER22" s="114"/>
      <c r="ES22" s="114"/>
      <c r="ET22" s="112"/>
      <c r="EU22" s="84"/>
      <c r="EV22" s="71">
        <f t="shared" ref="EV22" si="340">SUM(EV12,EV15,EV18,EV21)</f>
        <v>637532</v>
      </c>
      <c r="EW22" s="71">
        <f t="shared" ref="EW22" si="341">SUM(EW12,EW15,EW18,EW21)</f>
        <v>2792</v>
      </c>
      <c r="EX22" s="83"/>
      <c r="EY22" s="74"/>
      <c r="EZ22" s="129" t="s">
        <v>85</v>
      </c>
      <c r="FA22" s="71">
        <f>SUM(FA12,FA15,FA18,FA21)</f>
        <v>4129.82</v>
      </c>
      <c r="FB22" s="71">
        <f t="shared" ref="FB22" si="342">SUM(FB12,FB15,FB18,FB21)</f>
        <v>4129.82</v>
      </c>
      <c r="FC22" s="83">
        <f t="shared" ref="FC22" si="343">SUM(FC12,FC15,FC18,FC21)</f>
        <v>0</v>
      </c>
      <c r="FD22" s="71">
        <f t="shared" ref="FD22" si="344">SUM(FD12,FD15,FD18,FD21)</f>
        <v>1224.4099999999999</v>
      </c>
      <c r="FE22" s="84"/>
      <c r="FF22" s="71">
        <f t="shared" ref="FF22" si="345">SUM(FF12,FF15,FF18,FF21)</f>
        <v>2709.77</v>
      </c>
      <c r="FG22" s="84"/>
      <c r="FH22" s="84">
        <f t="shared" ref="FH22" si="346">SUM(FH12,FH15,FH18,FH21)</f>
        <v>0</v>
      </c>
      <c r="FI22" s="84"/>
      <c r="FJ22" s="71">
        <f t="shared" ref="FJ22" si="347">SUM(FJ12,FJ15,FJ18,FJ21)</f>
        <v>538.86</v>
      </c>
      <c r="FK22" s="82"/>
      <c r="FL22" s="114"/>
      <c r="FM22" s="114"/>
      <c r="FN22" s="114"/>
      <c r="FO22" s="114"/>
      <c r="FP22" s="112"/>
      <c r="FQ22" s="84"/>
      <c r="FR22" s="71">
        <f t="shared" ref="FR22" si="348">SUM(FR12,FR15,FR18,FR21)</f>
        <v>631273</v>
      </c>
      <c r="FS22" s="71">
        <f t="shared" ref="FS22" si="349">SUM(FS12,FS15,FS18,FS21)</f>
        <v>2792</v>
      </c>
      <c r="FT22" s="83"/>
      <c r="FU22" s="74"/>
      <c r="FV22" s="129" t="s">
        <v>85</v>
      </c>
      <c r="FW22" s="71">
        <f>SUM(FW12,FW15,FW18,FW21)</f>
        <v>3576.3</v>
      </c>
      <c r="FX22" s="71">
        <f t="shared" ref="FX22:GF22" si="350">SUM(FX12,FX15,FX18,FX21)</f>
        <v>3576.3</v>
      </c>
      <c r="FY22" s="83">
        <f t="shared" si="350"/>
        <v>0</v>
      </c>
      <c r="FZ22" s="71">
        <f t="shared" si="350"/>
        <v>2316.5300000000002</v>
      </c>
      <c r="GA22" s="84"/>
      <c r="GB22" s="71">
        <f t="shared" si="350"/>
        <v>2976</v>
      </c>
      <c r="GC22" s="84"/>
      <c r="GD22" s="71">
        <f t="shared" si="350"/>
        <v>59.17</v>
      </c>
      <c r="GE22" s="84"/>
      <c r="GF22" s="71">
        <f t="shared" si="350"/>
        <v>179.26999999999998</v>
      </c>
      <c r="GG22" s="84"/>
      <c r="GH22" s="112"/>
      <c r="GI22" s="112"/>
      <c r="GJ22" s="112"/>
      <c r="GK22" s="112"/>
      <c r="GL22" s="112"/>
      <c r="GM22" s="71"/>
      <c r="GN22" s="113">
        <f t="shared" ref="GN22" si="351">SUM(GN12,GN15,GN18,GN21)</f>
        <v>481069</v>
      </c>
      <c r="GO22" s="113">
        <f t="shared" ref="GO22" si="352">SUM(GO12,GO15,GO18,GO21)</f>
        <v>2792</v>
      </c>
      <c r="GP22" s="83"/>
      <c r="GQ22" s="74"/>
      <c r="GR22" s="129" t="s">
        <v>85</v>
      </c>
      <c r="GS22" s="71">
        <f>SUM(GS12,GS15,GS18,GS21)</f>
        <v>3327.67</v>
      </c>
      <c r="GT22" s="71">
        <f t="shared" ref="GT22" si="353">SUM(GT12,GT15,GT18,GT21)</f>
        <v>3327.67</v>
      </c>
      <c r="GU22" s="83">
        <f t="shared" ref="GU22" si="354">SUM(GU12,GU15,GU18,GU21)</f>
        <v>0</v>
      </c>
      <c r="GV22" s="71">
        <f t="shared" ref="GV22" si="355">SUM(GV12,GV15,GV18,GV21)</f>
        <v>2274.25</v>
      </c>
      <c r="GW22" s="82">
        <f>(GW12*$HK$12+GW15*$HK$15+GW18*$HK$18+GW21*$HK$21)/$HK$22</f>
        <v>0.41045697031200251</v>
      </c>
      <c r="GX22" s="74"/>
      <c r="GY22" s="82">
        <f>(GY12*$HK$12+GY15*$HK$15+GY18*$HK$18+GY21*$HK$21)/$HK$22</f>
        <v>0.26146131805157591</v>
      </c>
      <c r="GZ22" s="83"/>
      <c r="HA22" s="82">
        <f>(HA12*$HK$12+HA15*$HK$15+HA18*$HK$18+HA21*$HK$21)/$HK$22</f>
        <v>1.6985673352435528E-2</v>
      </c>
      <c r="HB22" s="74"/>
      <c r="HC22" s="82">
        <f>(HC12*$HK$12+HC15*$HK$15+HC18*$HK$18+HC21*$HK$21)/$HK$22</f>
        <v>0.30106068221030902</v>
      </c>
      <c r="HD22" s="82">
        <f>(HD12*$HK$12+HD15*$HK$15+HD18*$HK$18+HD21*$HK$21)/$HK$22</f>
        <v>0.2786295566698504</v>
      </c>
      <c r="HE22" s="82">
        <f>(HE12*$HK$12+HE15*$HK$15+HE18*$HK$18+HE21*$HK$21)/$HK$22</f>
        <v>0.44376314989755916</v>
      </c>
      <c r="HF22" s="82">
        <f>(HF12*$HK$12+HF15*$HK$15+HF18*$HK$18+HF21*$HK$21)/$HK$22</f>
        <v>3.246648161413563E-2</v>
      </c>
      <c r="HG22" s="82">
        <f>(HG12*$HK$12+HG15*$HK$15+HG18*$HK$18+HG21*$HK$21)/$HK$22</f>
        <v>0.22478957736389682</v>
      </c>
      <c r="HH22" s="83">
        <f>SUM(HH12,HH15,HH18,HH21)</f>
        <v>10</v>
      </c>
      <c r="HI22" s="84"/>
      <c r="HJ22" s="113">
        <f>SUM(HJ12,HJ15,HJ18,HJ21)</f>
        <v>451881</v>
      </c>
      <c r="HK22" s="83">
        <f>SUM(HK21,HK18,HK15,HK12)</f>
        <v>2792</v>
      </c>
      <c r="HL22" s="83"/>
      <c r="HM22" s="74"/>
      <c r="HN22" s="129" t="s">
        <v>85</v>
      </c>
      <c r="HO22" s="153">
        <f t="shared" ref="HO22:HQ22" si="356">SUM(HO21,HO18,HO15,HO12)</f>
        <v>4447</v>
      </c>
      <c r="HP22" s="153">
        <f t="shared" si="356"/>
        <v>4354.5</v>
      </c>
      <c r="HQ22" s="153">
        <f t="shared" si="356"/>
        <v>92.5</v>
      </c>
      <c r="HR22" s="153">
        <f>SUM(HR21,HR18,HR15,HR12)</f>
        <v>2592.9699999999998</v>
      </c>
      <c r="HS22" s="82">
        <f>(HS12*IG12+HS15*IG15+HS18*IG18+HS21*IG21)/IG22</f>
        <v>0.43415697114643986</v>
      </c>
      <c r="HT22" s="153">
        <f>SUM(HT21,HT18,HT15,HT12)</f>
        <v>1698.43</v>
      </c>
      <c r="HU22" s="82">
        <f>(HU12*IG12+HU15*IG15+HU18*IG18+HU21*IG21)/IG22</f>
        <v>7.5757107480666719E-2</v>
      </c>
      <c r="HV22" s="153">
        <f>SUM(HV21,HV18,HV15,HV12)</f>
        <v>189.6</v>
      </c>
      <c r="HW22" s="82">
        <f>(HW12*$IG$12+HW15*$IG$15+HW18*$IG$18+HW21*$IG$21)/$IG$22</f>
        <v>1.0844155343993593E-2</v>
      </c>
      <c r="HX22" s="153">
        <f>SUM(HX21,HX18,HX15,HX12)</f>
        <v>260.24</v>
      </c>
      <c r="HY22" s="82">
        <f>(HY12*$IG$12+HY15*$IG$15+HY18*$IG$18+HY21*$IG$21)/$IG$22</f>
        <v>0.47924176602889978</v>
      </c>
      <c r="HZ22" s="114">
        <f>(HZ12*IG12+HZ15*IG15+HZ18*IG18+HZ21*IG21)/IG22</f>
        <v>0.43473993475983602</v>
      </c>
      <c r="IA22" s="82">
        <f>(IA12*$IG$12+IA15*$IG$15+IA18*$IG$18+IA21*$IG$21)/$IG$22</f>
        <v>0.48218339206262778</v>
      </c>
      <c r="IB22" s="82">
        <f>(IB12*IG12+IB15*IG15+IB18*IG18+IB21*IG21)/IG22</f>
        <v>4.4501831269063687E-2</v>
      </c>
      <c r="IC22" s="82">
        <f>(IC12*$IG$12+IC15*$IG$15+IC18*$IG$18+IC21*$IG$21)/$IG$22</f>
        <v>0.32808745031888342</v>
      </c>
      <c r="ID22" s="153">
        <f>SUM(ID21,ID18,ID15,ID12)</f>
        <v>9</v>
      </c>
      <c r="IE22" s="84"/>
      <c r="IF22" s="159">
        <f>SUM(IF21,IF18,IF15,IF12)</f>
        <v>681519</v>
      </c>
      <c r="IG22" s="83">
        <f>SUM(IG21,IG18,IG15,IG12)</f>
        <v>2792</v>
      </c>
      <c r="IH22" s="83"/>
      <c r="II22" s="74"/>
      <c r="IJ22" s="16" t="s">
        <v>85</v>
      </c>
      <c r="IK22" s="71">
        <f>SUM(IK12,IK15,IK18,IK21)</f>
        <v>4993.58</v>
      </c>
      <c r="IL22" s="71">
        <f t="shared" ref="IL22:IT22" si="357">SUM(IL12,IL15,IL18,IL21)</f>
        <v>4993.58</v>
      </c>
      <c r="IM22" s="74">
        <f t="shared" si="357"/>
        <v>0</v>
      </c>
      <c r="IN22" s="71">
        <f t="shared" si="357"/>
        <v>2153.42</v>
      </c>
      <c r="IO22" s="82">
        <f>(IO12*JC12+IO15*JC15+IO18*JC18+IO21*JC21)/JC22</f>
        <v>0.37466788045208532</v>
      </c>
      <c r="IP22" s="71">
        <f t="shared" si="357"/>
        <v>1440</v>
      </c>
      <c r="IQ22" s="82">
        <f>(IQ12*JC12+IQ15*JC15+IQ18*JC18+IQ21*JC21)/JC22</f>
        <v>5.730659025787966E-2</v>
      </c>
      <c r="IR22" s="74">
        <f t="shared" si="357"/>
        <v>53</v>
      </c>
      <c r="IS22" s="82">
        <f>(IS12*JC12+IS15*JC15+IS18*JC18+IS21*JC21)/JC22</f>
        <v>3.173750397962432E-3</v>
      </c>
      <c r="IT22" s="74">
        <f t="shared" si="357"/>
        <v>603.2700000000001</v>
      </c>
      <c r="IU22" s="82">
        <f>(IU12*JC12+IU15*JC15+IU18*JC18+IU21*JC21)/JC22</f>
        <v>0.56485177889207261</v>
      </c>
      <c r="IV22" s="114">
        <f>(IV12*$JC$12+IV15*$JC$15+IV18*$JC$18+IV21*$JC$21)/$JC$22</f>
        <v>0.45425075612862142</v>
      </c>
      <c r="IW22" s="114">
        <f>(IW12*$JC$12+IW15*$JC$15+IW18*$JC$18+IW21*$JC$21)/$JC$22</f>
        <v>0.47594312074680206</v>
      </c>
      <c r="IX22" s="114">
        <f>(IX12*JC12+IX15*JC15+IX18*JC18+IX21*JC21)/JC22</f>
        <v>0.11060102276345113</v>
      </c>
      <c r="IY22" s="114">
        <f>(IY12*$JC$12+IY15*$JC$15+IY18*$JC$18+IY21*$JC$21)/$JC$22</f>
        <v>0.37805333691499526</v>
      </c>
      <c r="IZ22" s="153">
        <f>SUM(IZ21,IZ18,IZ15,IZ12)</f>
        <v>7</v>
      </c>
      <c r="JA22" s="84"/>
      <c r="JB22" s="71">
        <f t="shared" ref="JB22" si="358">SUM(JB12,JB15,JB18,JB21)</f>
        <v>759977.94</v>
      </c>
      <c r="JC22" s="83">
        <f>SUM(JC21,JC18,JC15,JC12)</f>
        <v>2792</v>
      </c>
    </row>
    <row r="23" spans="1:264" ht="15" x14ac:dyDescent="0.25">
      <c r="A23" s="74" t="s">
        <v>45</v>
      </c>
      <c r="B23" s="8" t="s">
        <v>46</v>
      </c>
      <c r="C23" s="8">
        <v>504.8</v>
      </c>
      <c r="D23" s="8">
        <v>126</v>
      </c>
      <c r="E23" s="8">
        <v>378.8</v>
      </c>
      <c r="F23" s="8">
        <v>239.2</v>
      </c>
      <c r="G23" s="6">
        <f t="shared" ref="G23:G32" si="359">(F23/$B$4)</f>
        <v>0.32150537634408599</v>
      </c>
      <c r="H23" s="8">
        <v>0</v>
      </c>
      <c r="I23" s="6">
        <f t="shared" ref="I23:I32" si="360">(H23/$B$4)</f>
        <v>0</v>
      </c>
      <c r="J23" s="6">
        <v>0</v>
      </c>
      <c r="K23" s="6">
        <f t="shared" ref="K23:K32" si="361">(J23/$B$4)</f>
        <v>0</v>
      </c>
      <c r="L23" s="8">
        <v>0</v>
      </c>
      <c r="M23" s="69">
        <f t="shared" ref="M23:M32" si="362">(C23/$B$4)</f>
        <v>0.67849462365591395</v>
      </c>
      <c r="N23" s="69">
        <f t="shared" ref="N23:N32" si="363">((C23-L23)/$B$4)</f>
        <v>0.67849462365591395</v>
      </c>
      <c r="O23" s="69">
        <f t="shared" ref="O23:O32" si="364">IF((AND(D23=0,F23=0)),0,(F23+L23)/(D23+F23+L23))</f>
        <v>0.65498357064622126</v>
      </c>
      <c r="P23" s="149">
        <f t="shared" ref="P23:P32" si="365">L23/$B$4</f>
        <v>0</v>
      </c>
      <c r="Q23" s="69">
        <f t="shared" ref="Q23:Q32" si="366">(T23/($B$4*U23))</f>
        <v>2.8407818100358424E-2</v>
      </c>
      <c r="R23" s="15">
        <v>0</v>
      </c>
      <c r="S23" s="6">
        <f>SUM(D23:F23,H23,J23)</f>
        <v>744</v>
      </c>
      <c r="T23" s="86">
        <v>2029</v>
      </c>
      <c r="U23" s="8">
        <v>96</v>
      </c>
      <c r="W23" s="74" t="s">
        <v>45</v>
      </c>
      <c r="X23" s="8" t="s">
        <v>46</v>
      </c>
      <c r="Y23" s="6">
        <f>$X$4-AB23-AD23-AF23</f>
        <v>636.79999999999995</v>
      </c>
      <c r="Z23" s="8">
        <v>468</v>
      </c>
      <c r="AA23" s="8">
        <v>168.8</v>
      </c>
      <c r="AB23" s="8">
        <v>107.2</v>
      </c>
      <c r="AC23" s="6">
        <f>(AB23/$X$4)</f>
        <v>0.14408602150537636</v>
      </c>
      <c r="AD23" s="8">
        <v>0</v>
      </c>
      <c r="AE23" s="6">
        <f>(AD23/$X$4)</f>
        <v>0</v>
      </c>
      <c r="AF23" s="8">
        <v>0</v>
      </c>
      <c r="AG23" s="6">
        <f>(AF23/$X$4)</f>
        <v>0</v>
      </c>
      <c r="AH23" s="8">
        <v>0</v>
      </c>
      <c r="AI23" s="69">
        <f>(Y23/$X$4)</f>
        <v>0.85591397849462358</v>
      </c>
      <c r="AJ23" s="69">
        <f>((Y23-AH23)/$X$4)</f>
        <v>0.85591397849462358</v>
      </c>
      <c r="AK23" s="69">
        <f>IF((AND(Z23=0,AB23=0)),0,(AB23+AH23)/(Z23+AB23+AH23))</f>
        <v>0.18636995827538247</v>
      </c>
      <c r="AL23" s="149">
        <f>AH23/$X$4</f>
        <v>0</v>
      </c>
      <c r="AM23" s="69">
        <f>(AP23/($X$4*AQ23))</f>
        <v>0.16301243279569894</v>
      </c>
      <c r="AN23" s="15">
        <v>3</v>
      </c>
      <c r="AO23" s="6">
        <f>SUM(Z23:AB23,AD23,AF23)</f>
        <v>744</v>
      </c>
      <c r="AP23" s="86">
        <v>11643</v>
      </c>
      <c r="AQ23" s="8">
        <v>96</v>
      </c>
      <c r="AS23" s="74" t="s">
        <v>45</v>
      </c>
      <c r="AT23" s="8" t="s">
        <v>46</v>
      </c>
      <c r="AU23" s="8">
        <v>405.8</v>
      </c>
      <c r="AV23" s="8">
        <v>356</v>
      </c>
      <c r="AW23" s="8">
        <v>49.8</v>
      </c>
      <c r="AX23" s="8">
        <v>314.2</v>
      </c>
      <c r="AY23" s="6">
        <f>(AX23/$AT$4)</f>
        <v>0.43638888888888888</v>
      </c>
      <c r="AZ23" s="8">
        <v>0</v>
      </c>
      <c r="BA23" s="8">
        <f>(AZ23/$AT$4)</f>
        <v>0</v>
      </c>
      <c r="BB23" s="8">
        <v>0</v>
      </c>
      <c r="BC23" s="6">
        <f>(BB23/$AT$4)</f>
        <v>0</v>
      </c>
      <c r="BD23" s="8">
        <v>0</v>
      </c>
      <c r="BE23" s="69">
        <f>(AU23/$AT$4)</f>
        <v>0.56361111111111117</v>
      </c>
      <c r="BF23" s="69">
        <f>((AU23-BD23)/$AT$4)</f>
        <v>0.56361111111111117</v>
      </c>
      <c r="BG23" s="69">
        <f>IF((AND(AV23=0,AX23=0)),0,(AX23+BD23)/(AV23+AX23+BD23))</f>
        <v>0.46881527902118764</v>
      </c>
      <c r="BH23" s="149">
        <f>BD23/$AT$4</f>
        <v>0</v>
      </c>
      <c r="BI23" s="69">
        <f>(BL23/($AT$4*BM23))</f>
        <v>0.14068287037037036</v>
      </c>
      <c r="BJ23" s="6"/>
      <c r="BK23" s="6">
        <f>SUM(AV23:AX23,AZ23,BB23)</f>
        <v>720</v>
      </c>
      <c r="BL23" s="86">
        <v>9724</v>
      </c>
      <c r="BM23" s="8">
        <v>96</v>
      </c>
      <c r="BO23" s="74" t="s">
        <v>45</v>
      </c>
      <c r="BP23" s="8" t="s">
        <v>46</v>
      </c>
      <c r="BQ23" s="8">
        <v>721.1</v>
      </c>
      <c r="BR23" s="8">
        <v>628</v>
      </c>
      <c r="BS23" s="8">
        <v>93.1</v>
      </c>
      <c r="BT23" s="8">
        <v>13.1</v>
      </c>
      <c r="BU23" s="69">
        <f>(BT23/$BP$4)</f>
        <v>1.7607526881720431E-2</v>
      </c>
      <c r="BV23" s="8">
        <v>0</v>
      </c>
      <c r="BW23" s="69">
        <f>(BV23/$BP$4)</f>
        <v>0</v>
      </c>
      <c r="BX23" s="8">
        <v>9.8000000000000007</v>
      </c>
      <c r="BY23" s="69">
        <f>(BX23/$BP$4)</f>
        <v>1.3172043010752688E-2</v>
      </c>
      <c r="BZ23" s="8">
        <v>0</v>
      </c>
      <c r="CA23" s="69">
        <f>(BQ23/$BP$4)</f>
        <v>0.9692204301075269</v>
      </c>
      <c r="CB23" s="69">
        <f>((BQ23-BZ23)/$BP$4)</f>
        <v>0.9692204301075269</v>
      </c>
      <c r="CC23" s="149">
        <f>IF((AND(BR23=0,BT23=0)),0,(BT23+BZ23)/(BR23+BT23+BZ23))</f>
        <v>2.043362969895492E-2</v>
      </c>
      <c r="CD23" s="149">
        <f>BZ23/$BP$4</f>
        <v>0</v>
      </c>
      <c r="CE23" s="69">
        <f>(CH23/($BP$4*CI23))</f>
        <v>0.22913866487455198</v>
      </c>
      <c r="CF23" s="69"/>
      <c r="CG23" s="42">
        <f>SUM(BR23:BT23,BV23,BX23)</f>
        <v>744</v>
      </c>
      <c r="CH23" s="86">
        <v>16366</v>
      </c>
      <c r="CI23" s="8">
        <v>96</v>
      </c>
      <c r="CK23" s="74" t="s">
        <v>45</v>
      </c>
      <c r="CL23" s="8" t="s">
        <v>46</v>
      </c>
      <c r="CM23" s="8">
        <v>720</v>
      </c>
      <c r="CN23" s="8">
        <v>239</v>
      </c>
      <c r="CO23" s="8">
        <v>481</v>
      </c>
      <c r="CP23" s="8">
        <v>0</v>
      </c>
      <c r="CQ23" s="6">
        <f>(CP23/$CL$4)</f>
        <v>0</v>
      </c>
      <c r="CR23" s="8">
        <v>0</v>
      </c>
      <c r="CS23" s="6">
        <f>(CR23/$CL$4)</f>
        <v>0</v>
      </c>
      <c r="CT23" s="6">
        <v>0</v>
      </c>
      <c r="CU23" s="6">
        <f>(CT23/$CL$4)</f>
        <v>0</v>
      </c>
      <c r="CV23" s="8">
        <v>0</v>
      </c>
      <c r="CW23" s="69">
        <f>(CM23/$CL$4)</f>
        <v>1</v>
      </c>
      <c r="CX23" s="69">
        <f>((CM23-CV23)/$CL$4)</f>
        <v>1</v>
      </c>
      <c r="CY23" s="149">
        <f>IF((AND(CN23=0,CP23=0)),0,(CP23+CV23)/(CN23+CP23+CV23))</f>
        <v>0</v>
      </c>
      <c r="CZ23" s="149">
        <f>CV23/$CL$4</f>
        <v>0</v>
      </c>
      <c r="DA23" s="69">
        <f>(DD23/($CL$4*DE23))</f>
        <v>6.4163773148148154E-2</v>
      </c>
      <c r="DB23" s="6"/>
      <c r="DC23" s="6">
        <f>SUM(CN23:CP23,CR23,CT23)</f>
        <v>720</v>
      </c>
      <c r="DD23" s="42">
        <v>4435</v>
      </c>
      <c r="DE23" s="8">
        <v>96</v>
      </c>
      <c r="DG23" s="74" t="s">
        <v>45</v>
      </c>
      <c r="DH23" s="8" t="s">
        <v>46</v>
      </c>
      <c r="DI23" s="8">
        <v>283.10000000000002</v>
      </c>
      <c r="DJ23" s="8">
        <v>241</v>
      </c>
      <c r="DK23" s="8">
        <v>42.1</v>
      </c>
      <c r="DL23" s="8">
        <v>460.9</v>
      </c>
      <c r="DM23" s="69">
        <f>(DL23/$DH$4)</f>
        <v>0.61948924731182797</v>
      </c>
      <c r="DN23" s="8">
        <v>0</v>
      </c>
      <c r="DO23" s="69">
        <f>(DN23/$DH$4)</f>
        <v>0</v>
      </c>
      <c r="DP23" s="6">
        <v>0</v>
      </c>
      <c r="DQ23" s="69">
        <f>(DP23/$DH$4)</f>
        <v>0</v>
      </c>
      <c r="DR23" s="8">
        <v>0</v>
      </c>
      <c r="DS23" s="69">
        <f>(DI23/$X$4)</f>
        <v>0.38051075268817208</v>
      </c>
      <c r="DT23" s="69">
        <f>((DI23-DR23)/$DH$4)</f>
        <v>0.38051075268817208</v>
      </c>
      <c r="DU23" s="149">
        <f>IF((AND(DJ23=0,DL23=0)),0,(DL23+DR23)/(DJ23+DL23+DR23))</f>
        <v>0.65664624590397491</v>
      </c>
      <c r="DV23" s="149">
        <f>DR23/$DH$4</f>
        <v>0</v>
      </c>
      <c r="DW23" s="69">
        <f>(DZ23/($DH$4*EA23))</f>
        <v>0.11622143817204302</v>
      </c>
      <c r="DX23" s="69"/>
      <c r="DY23" s="15">
        <f>SUM(DJ23:DL23,DN23,DP23)</f>
        <v>744</v>
      </c>
      <c r="DZ23" s="86">
        <v>8301</v>
      </c>
      <c r="EA23" s="8">
        <v>96</v>
      </c>
      <c r="EC23" s="74" t="s">
        <v>45</v>
      </c>
      <c r="ED23" s="8" t="s">
        <v>46</v>
      </c>
      <c r="EE23" s="8">
        <v>0</v>
      </c>
      <c r="EF23" s="8">
        <v>0</v>
      </c>
      <c r="EG23" s="8">
        <v>0</v>
      </c>
      <c r="EH23" s="8">
        <v>744</v>
      </c>
      <c r="EI23" s="6">
        <f>(EH23/$ED$4)</f>
        <v>1</v>
      </c>
      <c r="EJ23" s="8">
        <v>0</v>
      </c>
      <c r="EK23" s="6">
        <f>(EJ23/$ED$4)</f>
        <v>0</v>
      </c>
      <c r="EL23" s="6">
        <v>0</v>
      </c>
      <c r="EM23" s="6">
        <f>(EL23/$ED$4)</f>
        <v>0</v>
      </c>
      <c r="EN23" s="8">
        <v>0</v>
      </c>
      <c r="EO23" s="69">
        <f>(EE23/$X$4)</f>
        <v>0</v>
      </c>
      <c r="EP23" s="69">
        <f>((EE23-EN23)/$ED$4)</f>
        <v>0</v>
      </c>
      <c r="EQ23" s="149">
        <f>IF((AND(EF23=0,EH23=0)),0,(EH23+EN23)/(EF23+EH23+EN23))</f>
        <v>1</v>
      </c>
      <c r="ER23" s="149">
        <f>EN23/$ED$4</f>
        <v>0</v>
      </c>
      <c r="ES23" s="69">
        <f>(EV23/($ED$4*EW23))</f>
        <v>0</v>
      </c>
      <c r="ET23" s="6"/>
      <c r="EU23" s="6">
        <f>SUM(EF23:EH23,EJ23,EL23)</f>
        <v>744</v>
      </c>
      <c r="EV23" s="8">
        <v>0</v>
      </c>
      <c r="EW23" s="8">
        <v>96</v>
      </c>
      <c r="EY23" s="74" t="s">
        <v>45</v>
      </c>
      <c r="EZ23" s="8" t="s">
        <v>46</v>
      </c>
      <c r="FA23" s="8">
        <v>0</v>
      </c>
      <c r="FB23" s="8">
        <v>0</v>
      </c>
      <c r="FC23" s="8">
        <v>0</v>
      </c>
      <c r="FD23" s="8">
        <v>672</v>
      </c>
      <c r="FE23" s="6">
        <f>(FD23/$EZ$4)</f>
        <v>1</v>
      </c>
      <c r="FF23" s="8">
        <v>0</v>
      </c>
      <c r="FG23" s="6">
        <f>(FF23/$EZ$4)</f>
        <v>0</v>
      </c>
      <c r="FH23" s="6">
        <v>0</v>
      </c>
      <c r="FI23" s="6">
        <f>(FH23/$EZ$4)</f>
        <v>0</v>
      </c>
      <c r="FJ23" s="8">
        <v>0</v>
      </c>
      <c r="FK23" s="69">
        <f>(FA23/$X$4)</f>
        <v>0</v>
      </c>
      <c r="FL23" s="69">
        <f>((FA23-FJ23)/$EZ$4)</f>
        <v>0</v>
      </c>
      <c r="FM23" s="149">
        <f>IF((AND(FB23=0,FD23=0)),0,(FD23+FJ23)/(FB23+FD23+FJ23))</f>
        <v>1</v>
      </c>
      <c r="FN23" s="149">
        <f>FJ23/$EZ$4</f>
        <v>0</v>
      </c>
      <c r="FO23" s="69">
        <f>(FR23/($EZ$4*FS23))</f>
        <v>0</v>
      </c>
      <c r="FP23" s="6"/>
      <c r="FQ23" s="6">
        <f>SUM(FB23:FD23,FF23,FH23)</f>
        <v>672</v>
      </c>
      <c r="FR23" s="8">
        <v>0</v>
      </c>
      <c r="FS23" s="8">
        <v>96</v>
      </c>
      <c r="FU23" s="74" t="s">
        <v>45</v>
      </c>
      <c r="FV23" s="8" t="s">
        <v>46</v>
      </c>
      <c r="FW23" s="8">
        <v>0</v>
      </c>
      <c r="FX23" s="8">
        <v>0</v>
      </c>
      <c r="FY23" s="8">
        <v>0</v>
      </c>
      <c r="FZ23" s="8">
        <v>744</v>
      </c>
      <c r="GA23" s="69">
        <f>(FZ23/$FV$4)</f>
        <v>1</v>
      </c>
      <c r="GB23" s="8">
        <v>0</v>
      </c>
      <c r="GC23" s="69">
        <f>(GB23/$FV$4)</f>
        <v>0</v>
      </c>
      <c r="GD23" s="6">
        <v>0</v>
      </c>
      <c r="GE23" s="6">
        <f>(GD23/$FV$4)</f>
        <v>0</v>
      </c>
      <c r="GF23" s="8">
        <v>0</v>
      </c>
      <c r="GG23" s="69">
        <f>(FW23/$X$4)</f>
        <v>0</v>
      </c>
      <c r="GH23" s="69">
        <f>((FW23-GF23)/$FV$4)</f>
        <v>0</v>
      </c>
      <c r="GI23" s="149">
        <f>IF((AND(FX23=0,FZ23=0)),0,(FZ23+GF23)/(FX23+FZ23+GF23))</f>
        <v>1</v>
      </c>
      <c r="GJ23" s="149">
        <f>GF23/$FV$4</f>
        <v>0</v>
      </c>
      <c r="GK23" s="69">
        <f>(GN23/($FV$4*GO23))</f>
        <v>0</v>
      </c>
      <c r="GL23" s="69"/>
      <c r="GM23" s="6">
        <f>SUM(FX23:FZ23,GB23,GD23)</f>
        <v>744</v>
      </c>
      <c r="GN23" s="163">
        <v>0</v>
      </c>
      <c r="GO23" s="8">
        <v>96</v>
      </c>
      <c r="GQ23" s="154" t="s">
        <v>45</v>
      </c>
      <c r="GR23" s="155" t="s">
        <v>46</v>
      </c>
      <c r="GS23" s="155">
        <v>0</v>
      </c>
      <c r="GT23" s="155">
        <v>0</v>
      </c>
      <c r="GU23" s="155">
        <v>0</v>
      </c>
      <c r="GV23" s="155">
        <v>720</v>
      </c>
      <c r="GW23" s="157">
        <f>(GV23/$GR$4)</f>
        <v>1</v>
      </c>
      <c r="GX23" s="155">
        <v>0</v>
      </c>
      <c r="GY23" s="157">
        <f>(GX23/$GR$4)</f>
        <v>0</v>
      </c>
      <c r="GZ23" s="157">
        <v>0</v>
      </c>
      <c r="HA23" s="157">
        <f>(GZ23/$GR$4)</f>
        <v>0</v>
      </c>
      <c r="HB23" s="155">
        <v>0</v>
      </c>
      <c r="HC23" s="165">
        <f>(GS23/$X$4)</f>
        <v>0</v>
      </c>
      <c r="HD23" s="165">
        <f>((GS23-HB23)/$GR$4)</f>
        <v>0</v>
      </c>
      <c r="HE23" s="166">
        <f>IF((AND(GT23=0,GV23=0)),0,(GV23+HB23)/(GT23+GV23+HB23))</f>
        <v>1</v>
      </c>
      <c r="HF23" s="166">
        <f>HB23/$GR$4</f>
        <v>0</v>
      </c>
      <c r="HG23" s="165">
        <f>(HJ23/($GR$4*HK23))</f>
        <v>0</v>
      </c>
      <c r="HH23" s="158">
        <v>0</v>
      </c>
      <c r="HI23" s="157">
        <f>SUM(GT23:GV23,GX23,GZ23)</f>
        <v>720</v>
      </c>
      <c r="HJ23" s="155">
        <v>0</v>
      </c>
      <c r="HK23" s="155">
        <v>96</v>
      </c>
      <c r="HM23" s="154" t="s">
        <v>45</v>
      </c>
      <c r="HN23" s="155" t="s">
        <v>46</v>
      </c>
      <c r="HO23" s="155">
        <v>0</v>
      </c>
      <c r="HP23" s="155">
        <v>0</v>
      </c>
      <c r="HQ23" s="155">
        <v>0</v>
      </c>
      <c r="HR23" s="155">
        <v>744</v>
      </c>
      <c r="HS23" s="157">
        <f>(HR23/$HN$4)</f>
        <v>1</v>
      </c>
      <c r="HT23" s="155">
        <v>0</v>
      </c>
      <c r="HU23" s="157">
        <f>(HT23/$HN$4)</f>
        <v>0</v>
      </c>
      <c r="HV23" s="157">
        <v>0</v>
      </c>
      <c r="HW23" s="157">
        <f>(HV23/$HN$4)</f>
        <v>0</v>
      </c>
      <c r="HX23" s="155">
        <v>0</v>
      </c>
      <c r="HY23" s="165">
        <f>(HO23/$HN$4)</f>
        <v>0</v>
      </c>
      <c r="HZ23" s="165">
        <f>((HO23-HX23)/$HN$4)</f>
        <v>0</v>
      </c>
      <c r="IA23" s="166">
        <f>IF((AND(HP23=0,HR23=0)),0,(HR23+HX23)/(HP23+HR23))</f>
        <v>1</v>
      </c>
      <c r="IB23" s="166">
        <f>HX23/$HN$4</f>
        <v>0</v>
      </c>
      <c r="IC23" s="165">
        <f>(IF23/($HN$4*IG23))</f>
        <v>0</v>
      </c>
      <c r="ID23" s="158">
        <v>0</v>
      </c>
      <c r="IE23" s="157">
        <f>SUM(HP23:HR23,HT23,HV23)</f>
        <v>744</v>
      </c>
      <c r="IF23" s="155">
        <v>0</v>
      </c>
      <c r="IG23" s="155">
        <v>96</v>
      </c>
      <c r="II23" s="154" t="s">
        <v>45</v>
      </c>
      <c r="IJ23" s="155" t="s">
        <v>46</v>
      </c>
      <c r="IK23" s="156">
        <v>0</v>
      </c>
      <c r="IL23" s="156">
        <v>0</v>
      </c>
      <c r="IM23" s="156">
        <v>0</v>
      </c>
      <c r="IN23" s="156">
        <v>720</v>
      </c>
      <c r="IO23" s="165">
        <f>(IN23/$IJ$4)</f>
        <v>1</v>
      </c>
      <c r="IP23" s="156">
        <v>0</v>
      </c>
      <c r="IQ23" s="165">
        <f>(IP23/$IJ$4)</f>
        <v>0</v>
      </c>
      <c r="IR23" s="156">
        <v>0</v>
      </c>
      <c r="IS23" s="165">
        <f>(IR23/$IJ$4)</f>
        <v>0</v>
      </c>
      <c r="IT23" s="155">
        <v>0</v>
      </c>
      <c r="IU23" s="165">
        <f>(IK23/$IJ$4)</f>
        <v>0</v>
      </c>
      <c r="IV23" s="165">
        <f>((IK23-IT23)/$IJ$4)</f>
        <v>0</v>
      </c>
      <c r="IW23" s="166">
        <f>IF((AND(IL23=0,IN23=0)),0,(IN23+IT23)/(IL23+IN23+IT23))</f>
        <v>1</v>
      </c>
      <c r="IX23" s="166">
        <f>IT23/$IJ$4</f>
        <v>0</v>
      </c>
      <c r="IY23" s="165">
        <f>(JB23/($IJ$4*JC23))</f>
        <v>0</v>
      </c>
      <c r="IZ23" s="158">
        <v>0</v>
      </c>
      <c r="JA23" s="158">
        <f>SUM(IL23:IN23,IP23,IR23)</f>
        <v>720</v>
      </c>
      <c r="JB23" s="167">
        <v>0</v>
      </c>
      <c r="JC23" s="155">
        <v>96</v>
      </c>
    </row>
    <row r="24" spans="1:264" ht="14.25" x14ac:dyDescent="0.25">
      <c r="B24" s="37" t="s">
        <v>47</v>
      </c>
      <c r="C24" s="8">
        <v>528.9</v>
      </c>
      <c r="D24" s="8">
        <v>184</v>
      </c>
      <c r="E24" s="8">
        <v>344.9</v>
      </c>
      <c r="F24" s="8">
        <v>21</v>
      </c>
      <c r="G24" s="6">
        <f t="shared" si="359"/>
        <v>2.8225806451612902E-2</v>
      </c>
      <c r="H24" s="8">
        <v>185.6</v>
      </c>
      <c r="I24" s="6">
        <f t="shared" si="360"/>
        <v>0.24946236559139784</v>
      </c>
      <c r="J24" s="6">
        <v>8.5</v>
      </c>
      <c r="K24" s="6">
        <f t="shared" si="361"/>
        <v>1.1424731182795699E-2</v>
      </c>
      <c r="L24" s="8">
        <v>0</v>
      </c>
      <c r="M24" s="69">
        <f t="shared" si="362"/>
        <v>0.71088709677419348</v>
      </c>
      <c r="N24" s="69">
        <f t="shared" si="363"/>
        <v>0.71088709677419348</v>
      </c>
      <c r="O24" s="69">
        <f t="shared" si="364"/>
        <v>0.1024390243902439</v>
      </c>
      <c r="P24" s="149">
        <f t="shared" si="365"/>
        <v>0</v>
      </c>
      <c r="Q24" s="69">
        <f t="shared" si="366"/>
        <v>0.15615591397849463</v>
      </c>
      <c r="R24" s="15">
        <v>2</v>
      </c>
      <c r="S24" s="6">
        <f t="shared" ref="S24:S32" si="367">SUM(D24:F24,H24,J24)</f>
        <v>744</v>
      </c>
      <c r="T24" s="86">
        <v>5809</v>
      </c>
      <c r="U24" s="8">
        <v>50</v>
      </c>
      <c r="X24" s="37" t="s">
        <v>47</v>
      </c>
      <c r="Y24" s="6">
        <f t="shared" ref="Y24:Y31" si="368">$X$4-AB24-AD24-AF24</f>
        <v>684.2</v>
      </c>
      <c r="Z24" s="8">
        <v>434</v>
      </c>
      <c r="AA24" s="8">
        <v>250.2</v>
      </c>
      <c r="AB24" s="8">
        <v>33.799999999999997</v>
      </c>
      <c r="AC24" s="6">
        <f t="shared" ref="AC24:AC32" si="369">(AB24/$X$4)</f>
        <v>4.5430107526881716E-2</v>
      </c>
      <c r="AD24" s="8">
        <v>17.899999999999999</v>
      </c>
      <c r="AE24" s="6">
        <f t="shared" ref="AE24:AE32" si="370">(AD24/$X$4)</f>
        <v>2.4059139784946233E-2</v>
      </c>
      <c r="AF24" s="6">
        <v>8.1</v>
      </c>
      <c r="AG24" s="6">
        <f t="shared" ref="AG24:AG32" si="371">(AF24/$X$4)</f>
        <v>1.0887096774193548E-2</v>
      </c>
      <c r="AH24" s="8">
        <v>0</v>
      </c>
      <c r="AI24" s="69">
        <f t="shared" ref="AI24:AI32" si="372">(Y24/$X$4)</f>
        <v>0.91962365591397854</v>
      </c>
      <c r="AJ24" s="69">
        <f t="shared" ref="AJ24:AJ32" si="373">((Y24-AH24)/$X$4)</f>
        <v>0.91962365591397854</v>
      </c>
      <c r="AK24" s="69">
        <f t="shared" ref="AK24:AK32" si="374">IF((AND(Z24=0,AB24=0)),0,(AB24+AH24)/(Z24+AB24+AH24))</f>
        <v>7.2253099615220168E-2</v>
      </c>
      <c r="AL24" s="149">
        <f t="shared" ref="AL24:AL32" si="375">AH24/$X$4</f>
        <v>0</v>
      </c>
      <c r="AM24" s="69">
        <f t="shared" ref="AM24:AM32" si="376">(AP24/($X$4*AQ24))</f>
        <v>0.51758064516129032</v>
      </c>
      <c r="AN24" s="15">
        <v>4</v>
      </c>
      <c r="AO24" s="6">
        <f t="shared" ref="AO24:AO32" si="377">SUM(Z24:AB24,AD24,AF24)</f>
        <v>744</v>
      </c>
      <c r="AP24" s="86">
        <v>19254</v>
      </c>
      <c r="AQ24" s="8">
        <v>50</v>
      </c>
      <c r="AT24" s="37" t="s">
        <v>47</v>
      </c>
      <c r="AU24" s="8">
        <v>720</v>
      </c>
      <c r="AV24" s="8">
        <v>556</v>
      </c>
      <c r="AW24" s="8">
        <v>164</v>
      </c>
      <c r="AX24" s="8">
        <v>0</v>
      </c>
      <c r="AY24" s="6">
        <f t="shared" ref="AY24:AY32" si="378">(AX24/$AT$4)</f>
        <v>0</v>
      </c>
      <c r="AZ24" s="8">
        <v>0</v>
      </c>
      <c r="BA24" s="8">
        <f t="shared" ref="BA24:BA32" si="379">(AZ24/$AT$4)</f>
        <v>0</v>
      </c>
      <c r="BB24" s="8">
        <v>0</v>
      </c>
      <c r="BC24" s="6">
        <f t="shared" ref="BC24:BC32" si="380">(BB24/$AT$4)</f>
        <v>0</v>
      </c>
      <c r="BD24" s="8">
        <v>0</v>
      </c>
      <c r="BE24" s="69">
        <f t="shared" ref="BE24:BE32" si="381">(AU24/$AT$4)</f>
        <v>1</v>
      </c>
      <c r="BF24" s="69">
        <f t="shared" ref="BF24:BF32" si="382">((AU24-BD24)/$AT$4)</f>
        <v>1</v>
      </c>
      <c r="BG24" s="69">
        <f t="shared" ref="BG24:BG32" si="383">IF((AND(AV24=0,AX24=0)),0,(AX24+BD24)/(AV24+AX24+BD24))</f>
        <v>0</v>
      </c>
      <c r="BH24" s="149">
        <f t="shared" ref="BH24:BH32" si="384">BD24/$AT$4</f>
        <v>0</v>
      </c>
      <c r="BI24" s="69">
        <f t="shared" ref="BI24:BI32" si="385">(BL24/($AT$4*BM24))</f>
        <v>0.66274999999999995</v>
      </c>
      <c r="BJ24" s="6"/>
      <c r="BK24" s="6">
        <f t="shared" ref="BK24:BK32" si="386">SUM(AV24:AX24,AZ24,BB24)</f>
        <v>720</v>
      </c>
      <c r="BL24" s="86">
        <v>23859</v>
      </c>
      <c r="BM24" s="8">
        <v>50</v>
      </c>
      <c r="BP24" s="37" t="s">
        <v>47</v>
      </c>
      <c r="BQ24" s="8">
        <v>744</v>
      </c>
      <c r="BR24" s="8">
        <v>526</v>
      </c>
      <c r="BS24" s="8">
        <v>218</v>
      </c>
      <c r="BT24" s="8">
        <v>0</v>
      </c>
      <c r="BU24" s="69">
        <f t="shared" ref="BU24:BW32" si="387">(BT24/$BP$4)</f>
        <v>0</v>
      </c>
      <c r="BV24" s="8">
        <v>0</v>
      </c>
      <c r="BW24" s="69">
        <f t="shared" si="387"/>
        <v>0</v>
      </c>
      <c r="BX24" s="8">
        <v>0</v>
      </c>
      <c r="BY24" s="69">
        <f t="shared" ref="BY24" si="388">(BX24/$BP$4)</f>
        <v>0</v>
      </c>
      <c r="BZ24" s="8">
        <v>0</v>
      </c>
      <c r="CA24" s="69">
        <f t="shared" ref="CA24:CA28" si="389">(BQ24/$BP$4)</f>
        <v>1</v>
      </c>
      <c r="CB24" s="69">
        <f t="shared" ref="CB24:CB28" si="390">((BQ24-BZ24)/$BP$4)</f>
        <v>1</v>
      </c>
      <c r="CC24" s="149">
        <f t="shared" ref="CC24:CC28" si="391">IF((AND(BR24=0,BT24=0)),0,(BT24+BZ24)/(BR24+BT24+BZ24))</f>
        <v>0</v>
      </c>
      <c r="CD24" s="149">
        <f t="shared" ref="CD24:CD28" si="392">BZ24/$BP$4</f>
        <v>0</v>
      </c>
      <c r="CE24" s="69">
        <f t="shared" ref="CE24:CE28" si="393">(CH24/($BP$4*CI24))</f>
        <v>0.66096774193548391</v>
      </c>
      <c r="CF24" s="69"/>
      <c r="CG24" s="42">
        <f t="shared" ref="CG24:CG32" si="394">SUM(BR24:BT24,BV24,BX24)</f>
        <v>744</v>
      </c>
      <c r="CH24" s="86">
        <v>24588</v>
      </c>
      <c r="CI24" s="8">
        <v>50</v>
      </c>
      <c r="CL24" s="37" t="s">
        <v>47</v>
      </c>
      <c r="CM24" s="8">
        <v>718</v>
      </c>
      <c r="CN24" s="8">
        <v>347</v>
      </c>
      <c r="CO24" s="8">
        <v>371</v>
      </c>
      <c r="CP24" s="8">
        <v>2</v>
      </c>
      <c r="CQ24" s="6">
        <f t="shared" ref="CQ24:CQ32" si="395">(CP24/$CL$4)</f>
        <v>2.7777777777777779E-3</v>
      </c>
      <c r="CR24" s="8">
        <v>0</v>
      </c>
      <c r="CS24" s="6">
        <f t="shared" ref="CS24:CS32" si="396">(CR24/$CL$4)</f>
        <v>0</v>
      </c>
      <c r="CT24" s="6">
        <v>0</v>
      </c>
      <c r="CU24" s="6">
        <f t="shared" ref="CU24:CU32" si="397">(CT24/$CL$4)</f>
        <v>0</v>
      </c>
      <c r="CV24" s="8">
        <v>0</v>
      </c>
      <c r="CW24" s="69">
        <f t="shared" ref="CW24:CW32" si="398">(CM24/$CL$4)</f>
        <v>0.99722222222222223</v>
      </c>
      <c r="CX24" s="69">
        <f t="shared" ref="CX24:CX32" si="399">((CM24-CV24)/$CL$4)</f>
        <v>0.99722222222222223</v>
      </c>
      <c r="CY24" s="149">
        <f t="shared" ref="CY24:CY32" si="400">IF((AND(CN24=0,CP24=0)),0,(CP24+CV24)/(CN24+CP24+CV24))</f>
        <v>5.7306590257879654E-3</v>
      </c>
      <c r="CZ24" s="149">
        <f t="shared" ref="CZ24:CZ32" si="401">CV24/$CL$4</f>
        <v>0</v>
      </c>
      <c r="DA24" s="69">
        <f t="shared" ref="DA24:DA32" si="402">(DD24/($CL$4*DE24))</f>
        <v>0.39100000000000001</v>
      </c>
      <c r="DB24" s="6"/>
      <c r="DC24" s="6">
        <f t="shared" ref="DC24:DC32" si="403">SUM(CN24:CP24,CR24,CT24)</f>
        <v>720</v>
      </c>
      <c r="DD24" s="42">
        <v>14076</v>
      </c>
      <c r="DE24" s="8">
        <v>50</v>
      </c>
      <c r="DH24" s="37" t="s">
        <v>47</v>
      </c>
      <c r="DI24" s="8">
        <v>731.5</v>
      </c>
      <c r="DJ24" s="8">
        <v>419</v>
      </c>
      <c r="DK24" s="8">
        <v>312.5</v>
      </c>
      <c r="DL24" s="8">
        <v>12.5</v>
      </c>
      <c r="DM24" s="69">
        <f t="shared" ref="DM24:DM32" si="404">(DL24/$DH$4)</f>
        <v>1.6801075268817203E-2</v>
      </c>
      <c r="DN24" s="8">
        <v>0</v>
      </c>
      <c r="DO24" s="69">
        <f t="shared" ref="DO24:DO32" si="405">(DN24/$DH$4)</f>
        <v>0</v>
      </c>
      <c r="DP24" s="6">
        <v>0</v>
      </c>
      <c r="DQ24" s="69">
        <f t="shared" ref="DQ24:DQ32" si="406">(DP24/$DH$4)</f>
        <v>0</v>
      </c>
      <c r="DR24" s="8">
        <v>0</v>
      </c>
      <c r="DS24" s="69">
        <f t="shared" ref="DS24:DS32" si="407">(DI24/$X$4)</f>
        <v>0.98319892473118276</v>
      </c>
      <c r="DT24" s="69">
        <f t="shared" ref="DT24:DT32" si="408">((DI24-DR24)/$DH$4)</f>
        <v>0.98319892473118276</v>
      </c>
      <c r="DU24" s="149">
        <f t="shared" ref="DU24:DU32" si="409">IF((AND(DJ24=0,DL24=0)),0,(DL24+DR24)/(DJ24+DL24+DR24))</f>
        <v>2.8968713789107765E-2</v>
      </c>
      <c r="DV24" s="149">
        <f t="shared" ref="DV24:DV32" si="410">DR24/$DH$4</f>
        <v>0</v>
      </c>
      <c r="DW24" s="69">
        <f t="shared" ref="DW24:DW32" si="411">(DZ24/($DH$4*EA24))</f>
        <v>0.49080645161290321</v>
      </c>
      <c r="DX24" s="69"/>
      <c r="DY24" s="15">
        <f t="shared" ref="DY24:DY32" si="412">SUM(DJ24:DL24,DN24,DP24)</f>
        <v>744</v>
      </c>
      <c r="DZ24" s="86">
        <v>18258</v>
      </c>
      <c r="EA24" s="8">
        <v>50</v>
      </c>
      <c r="ED24" s="37" t="s">
        <v>47</v>
      </c>
      <c r="EE24" s="8">
        <v>737.9</v>
      </c>
      <c r="EF24" s="8">
        <v>343</v>
      </c>
      <c r="EG24" s="8">
        <v>394.9</v>
      </c>
      <c r="EH24" s="8">
        <v>6.1</v>
      </c>
      <c r="EI24" s="6">
        <f t="shared" ref="EI24:EI32" si="413">(EH24/$ED$4)</f>
        <v>8.1989247311827947E-3</v>
      </c>
      <c r="EJ24" s="8">
        <v>0</v>
      </c>
      <c r="EK24" s="6">
        <f t="shared" ref="EK24:EK32" si="414">(EJ24/$ED$4)</f>
        <v>0</v>
      </c>
      <c r="EL24" s="6">
        <v>0</v>
      </c>
      <c r="EM24" s="6">
        <f t="shared" ref="EM24:EM32" si="415">(EL24/$ED$4)</f>
        <v>0</v>
      </c>
      <c r="EN24" s="8">
        <v>0</v>
      </c>
      <c r="EO24" s="69">
        <f t="shared" ref="EO24:EO32" si="416">(EE24/$X$4)</f>
        <v>0.99180107526881722</v>
      </c>
      <c r="EP24" s="69">
        <f t="shared" ref="EP24:EP32" si="417">((EE24-EN24)/$ED$4)</f>
        <v>0.99180107526881722</v>
      </c>
      <c r="EQ24" s="149">
        <f t="shared" ref="EQ24:EQ32" si="418">IF((AND(EF24=0,EH24=0)),0,(EH24+EN24)/(EF24+EH24+EN24))</f>
        <v>1.7473503294185046E-2</v>
      </c>
      <c r="ER24" s="149">
        <f t="shared" ref="ER24:ER32" si="419">EN24/$ED$4</f>
        <v>0</v>
      </c>
      <c r="ES24" s="69">
        <f t="shared" ref="ES24:ES32" si="420">(EV24/($ED$4*EW24))</f>
        <v>0.30798387096774194</v>
      </c>
      <c r="ET24" s="6"/>
      <c r="EU24" s="6">
        <f t="shared" ref="EU24:EU32" si="421">SUM(EF24:EH24,EJ24,EL24)</f>
        <v>744</v>
      </c>
      <c r="EV24" s="86">
        <v>11457</v>
      </c>
      <c r="EW24" s="8">
        <v>50</v>
      </c>
      <c r="EZ24" s="37" t="s">
        <v>47</v>
      </c>
      <c r="FA24" s="8">
        <v>642.5</v>
      </c>
      <c r="FB24" s="8">
        <v>152</v>
      </c>
      <c r="FC24" s="8">
        <v>490.5</v>
      </c>
      <c r="FD24" s="100">
        <v>0</v>
      </c>
      <c r="FE24" s="6">
        <f t="shared" ref="FE24:FE32" si="422">(FD24/$EZ$4)</f>
        <v>0</v>
      </c>
      <c r="FF24" s="100">
        <v>29.5</v>
      </c>
      <c r="FG24" s="6">
        <f t="shared" ref="FG24:FG32" si="423">(FF24/$EZ$4)</f>
        <v>4.3898809523809521E-2</v>
      </c>
      <c r="FH24" s="6">
        <v>0</v>
      </c>
      <c r="FI24" s="6">
        <f t="shared" ref="FI24:FI32" si="424">(FH24/$EZ$4)</f>
        <v>0</v>
      </c>
      <c r="FJ24" s="8">
        <v>0</v>
      </c>
      <c r="FK24" s="69">
        <f t="shared" ref="FK24:FK32" si="425">(FA24/$X$4)</f>
        <v>0.86357526881720426</v>
      </c>
      <c r="FL24" s="69">
        <f t="shared" ref="FL24:FL32" si="426">((FA24-FJ24)/$EZ$4)</f>
        <v>0.95610119047619047</v>
      </c>
      <c r="FM24" s="149">
        <f t="shared" ref="FM24:FM32" si="427">IF((AND(FB24=0,FD24=0)),0,(FD24+FJ24)/(FB24+FD24+FJ24))</f>
        <v>0</v>
      </c>
      <c r="FN24" s="149">
        <f t="shared" ref="FN24:FN32" si="428">FJ24/$EZ$4</f>
        <v>0</v>
      </c>
      <c r="FO24" s="69">
        <f t="shared" ref="FO24:FO32" si="429">(FR24/($EZ$4*FS24))</f>
        <v>0.25979166666666664</v>
      </c>
      <c r="FP24" s="6"/>
      <c r="FQ24" s="6">
        <f t="shared" ref="FQ24:FQ32" si="430">SUM(FB24:FD24,FF24,FH24)</f>
        <v>672</v>
      </c>
      <c r="FR24" s="42">
        <v>8729</v>
      </c>
      <c r="FS24" s="8">
        <v>50</v>
      </c>
      <c r="FV24" s="37" t="s">
        <v>47</v>
      </c>
      <c r="FW24" s="21">
        <v>424.5</v>
      </c>
      <c r="FX24" s="100">
        <v>107</v>
      </c>
      <c r="FY24" s="100">
        <v>317.5</v>
      </c>
      <c r="FZ24" s="8">
        <v>319.5</v>
      </c>
      <c r="GA24" s="69">
        <f t="shared" ref="GA24:GA32" si="431">(FZ24/$FV$4)</f>
        <v>0.42943548387096775</v>
      </c>
      <c r="GB24" s="8">
        <v>0</v>
      </c>
      <c r="GC24" s="69">
        <f t="shared" ref="GC24:GC32" si="432">(GB24/$FV$4)</f>
        <v>0</v>
      </c>
      <c r="GD24" s="6">
        <v>0</v>
      </c>
      <c r="GE24" s="6">
        <f t="shared" ref="GE24:GE32" si="433">(GD24/$FV$4)</f>
        <v>0</v>
      </c>
      <c r="GF24" s="8">
        <v>0</v>
      </c>
      <c r="GG24" s="69">
        <f t="shared" ref="GG24:GG32" si="434">(FW24/$X$4)</f>
        <v>0.57056451612903225</v>
      </c>
      <c r="GH24" s="69">
        <f t="shared" ref="GH24:GH32" si="435">((FW24-GF24)/$FV$4)</f>
        <v>0.57056451612903225</v>
      </c>
      <c r="GI24" s="149">
        <f t="shared" ref="GI24:GI32" si="436">IF((AND(FX24=0,FZ24=0)),0,(FZ24+GF24)/(FX24+FZ24+GF24))</f>
        <v>0.74912075029308323</v>
      </c>
      <c r="GJ24" s="149">
        <f t="shared" ref="GJ24:GJ32" si="437">GF24/$FV$4</f>
        <v>0</v>
      </c>
      <c r="GK24" s="69">
        <f t="shared" ref="GK24:GK32" si="438">(GN24/($FV$4*GO24))</f>
        <v>8.6962365591397847E-2</v>
      </c>
      <c r="GL24" s="69"/>
      <c r="GM24" s="6">
        <f t="shared" ref="GM24:GM32" si="439">SUM(FX24:FZ24,GB24,GD24)</f>
        <v>744</v>
      </c>
      <c r="GN24" s="99">
        <v>3235</v>
      </c>
      <c r="GO24" s="8">
        <v>50</v>
      </c>
      <c r="GR24" s="37" t="s">
        <v>47</v>
      </c>
      <c r="GS24" s="8">
        <v>710.1</v>
      </c>
      <c r="GT24" s="8">
        <v>523</v>
      </c>
      <c r="GU24" s="8">
        <v>187.1</v>
      </c>
      <c r="GV24" s="8">
        <v>9.9</v>
      </c>
      <c r="GW24" s="6">
        <f t="shared" ref="GW24:GW32" si="440">(GV24/$GR$4)</f>
        <v>1.375E-2</v>
      </c>
      <c r="GX24" s="8">
        <v>0</v>
      </c>
      <c r="GY24" s="6">
        <f t="shared" ref="GY24:GY32" si="441">(GX24/$GR$4)</f>
        <v>0</v>
      </c>
      <c r="GZ24" s="6">
        <v>0</v>
      </c>
      <c r="HA24" s="6">
        <f t="shared" ref="HA24:HA32" si="442">(GZ24/$GR$4)</f>
        <v>0</v>
      </c>
      <c r="HB24" s="8">
        <v>0</v>
      </c>
      <c r="HC24" s="69">
        <f t="shared" ref="HC24:HC32" si="443">(GS24/$X$4)</f>
        <v>0.95443548387096777</v>
      </c>
      <c r="HD24" s="69">
        <f t="shared" ref="HD24:HD32" si="444">((GS24-HB24)/$GR$4)</f>
        <v>0.98625000000000007</v>
      </c>
      <c r="HE24" s="149">
        <f t="shared" ref="HE24:HE32" si="445">IF((AND(GT24=0,GV24=0)),0,(GV24+HB24)/(GT24+GV24+HB24))</f>
        <v>1.8577594295364985E-2</v>
      </c>
      <c r="HF24" s="149">
        <f t="shared" ref="HF24:HF32" si="446">HB24/$GR$4</f>
        <v>0</v>
      </c>
      <c r="HG24" s="69">
        <f t="shared" ref="HG24:HG32" si="447">(HJ24/($GR$4*HK24))</f>
        <v>0.48494444444444446</v>
      </c>
      <c r="HH24" s="15">
        <v>0</v>
      </c>
      <c r="HI24" s="6">
        <f t="shared" ref="HI24:HI32" si="448">SUM(GT24:GV24,GX24,GZ24)</f>
        <v>720</v>
      </c>
      <c r="HJ24" s="42">
        <v>17458</v>
      </c>
      <c r="HK24" s="8">
        <v>50</v>
      </c>
      <c r="HN24" s="37" t="s">
        <v>47</v>
      </c>
      <c r="HO24" s="8">
        <v>744</v>
      </c>
      <c r="HP24" s="8">
        <v>374</v>
      </c>
      <c r="HQ24" s="8">
        <v>370</v>
      </c>
      <c r="HR24" s="8">
        <v>0</v>
      </c>
      <c r="HS24" s="6">
        <f t="shared" ref="HS24:HS32" si="449">(HR24/$HN$4)</f>
        <v>0</v>
      </c>
      <c r="HT24" s="8">
        <v>0</v>
      </c>
      <c r="HU24" s="6">
        <f t="shared" ref="HU24:HU32" si="450">(HT24/$HN$4)</f>
        <v>0</v>
      </c>
      <c r="HV24" s="8">
        <v>0</v>
      </c>
      <c r="HW24" s="6">
        <f t="shared" ref="HW24:HW32" si="451">(HV24/$HN$4)</f>
        <v>0</v>
      </c>
      <c r="HX24" s="8">
        <v>0</v>
      </c>
      <c r="HY24" s="69">
        <f t="shared" ref="HY24:HY32" si="452">(HO24/$HN$4)</f>
        <v>1</v>
      </c>
      <c r="HZ24" s="69">
        <f t="shared" ref="HZ24:HZ32" si="453">((HO24-HX24)/$HN$4)</f>
        <v>1</v>
      </c>
      <c r="IA24" s="149">
        <f t="shared" ref="IA24:IA32" si="454">IF((AND(HP24=0,HR24=0)),0,(HR24+HX24)/(HP24+HR24))</f>
        <v>0</v>
      </c>
      <c r="IB24" s="149">
        <f t="shared" ref="IB24:IB32" si="455">HX24/$HN$4</f>
        <v>0</v>
      </c>
      <c r="IC24" s="69">
        <f t="shared" ref="IC24:IC32" si="456">(IF24/($HN$4*IG24))</f>
        <v>0.31827956989247314</v>
      </c>
      <c r="ID24" s="15">
        <v>0</v>
      </c>
      <c r="IE24" s="6">
        <f t="shared" ref="IE24:IE32" si="457">SUM(HP24:HR24,HT24,HV24)</f>
        <v>744</v>
      </c>
      <c r="IF24" s="86">
        <v>11840</v>
      </c>
      <c r="IG24" s="8">
        <v>50</v>
      </c>
      <c r="IJ24" s="37" t="s">
        <v>47</v>
      </c>
      <c r="IK24" s="52">
        <v>720</v>
      </c>
      <c r="IL24" s="52">
        <v>395</v>
      </c>
      <c r="IM24" s="52">
        <v>325</v>
      </c>
      <c r="IN24" s="52">
        <v>0</v>
      </c>
      <c r="IO24" s="69">
        <f t="shared" ref="IO24:IO32" si="458">(IN24/$IJ$4)</f>
        <v>0</v>
      </c>
      <c r="IP24" s="52">
        <v>0</v>
      </c>
      <c r="IQ24" s="69">
        <f t="shared" ref="IQ24:IQ32" si="459">(IP24/$IJ$4)</f>
        <v>0</v>
      </c>
      <c r="IR24" s="52">
        <v>0</v>
      </c>
      <c r="IS24" s="69">
        <f t="shared" ref="IS24:IS32" si="460">(IR24/$IJ$4)</f>
        <v>0</v>
      </c>
      <c r="IT24" s="8">
        <v>0</v>
      </c>
      <c r="IU24" s="69">
        <f t="shared" ref="IU24:IU32" si="461">(IK24/$IJ$4)</f>
        <v>1</v>
      </c>
      <c r="IV24" s="69">
        <f t="shared" ref="IV24:IV32" si="462">((IK24-IT24)/$IJ$4)</f>
        <v>1</v>
      </c>
      <c r="IW24" s="149">
        <f t="shared" ref="IW24:IW32" si="463">IF((AND(IL24=0,IN24=0)),0,(IN24+IT24)/(IL24+IN24+IT24))</f>
        <v>0</v>
      </c>
      <c r="IX24" s="149">
        <f t="shared" ref="IX24:IX32" si="464">IT24/$IJ$4</f>
        <v>0</v>
      </c>
      <c r="IY24" s="69">
        <f t="shared" ref="IY24:IY32" si="465">(JB24/($IJ$4*JC24))</f>
        <v>0.38477777777777777</v>
      </c>
      <c r="IZ24" s="15">
        <v>0</v>
      </c>
      <c r="JA24" s="15">
        <f t="shared" ref="JA24:JA32" si="466">SUM(IL24:IN24,IP24,IR24)</f>
        <v>720</v>
      </c>
      <c r="JB24" s="168">
        <v>13852</v>
      </c>
      <c r="JC24" s="8">
        <v>50</v>
      </c>
    </row>
    <row r="25" spans="1:264" ht="14.25" x14ac:dyDescent="0.25">
      <c r="B25" s="37" t="s">
        <v>48</v>
      </c>
      <c r="C25" s="8">
        <v>735.5</v>
      </c>
      <c r="D25" s="8">
        <v>334</v>
      </c>
      <c r="E25" s="8">
        <v>401.5</v>
      </c>
      <c r="F25" s="8">
        <v>0</v>
      </c>
      <c r="G25" s="6">
        <f t="shared" si="359"/>
        <v>0</v>
      </c>
      <c r="H25" s="8">
        <v>0</v>
      </c>
      <c r="I25" s="6">
        <f t="shared" si="360"/>
        <v>0</v>
      </c>
      <c r="J25" s="6">
        <v>8.5</v>
      </c>
      <c r="K25" s="6">
        <f t="shared" si="361"/>
        <v>1.1424731182795699E-2</v>
      </c>
      <c r="L25" s="8">
        <v>0</v>
      </c>
      <c r="M25" s="69">
        <f t="shared" si="362"/>
        <v>0.98857526881720426</v>
      </c>
      <c r="N25" s="69">
        <f t="shared" si="363"/>
        <v>0.98857526881720426</v>
      </c>
      <c r="O25" s="69">
        <f t="shared" si="364"/>
        <v>0</v>
      </c>
      <c r="P25" s="149">
        <f t="shared" si="365"/>
        <v>0</v>
      </c>
      <c r="Q25" s="69">
        <f t="shared" si="366"/>
        <v>0.34322580645161288</v>
      </c>
      <c r="R25" s="15">
        <v>0</v>
      </c>
      <c r="S25" s="6">
        <f t="shared" si="367"/>
        <v>744</v>
      </c>
      <c r="T25" s="86">
        <v>12768</v>
      </c>
      <c r="U25" s="8">
        <v>50</v>
      </c>
      <c r="X25" s="37" t="s">
        <v>48</v>
      </c>
      <c r="Y25" s="6">
        <f t="shared" si="368"/>
        <v>735.9</v>
      </c>
      <c r="Z25" s="8">
        <v>607</v>
      </c>
      <c r="AA25" s="8">
        <v>128.9</v>
      </c>
      <c r="AB25" s="8">
        <v>8.1</v>
      </c>
      <c r="AC25" s="6">
        <f t="shared" si="369"/>
        <v>1.0887096774193548E-2</v>
      </c>
      <c r="AD25" s="8">
        <v>0</v>
      </c>
      <c r="AE25" s="6">
        <f t="shared" si="370"/>
        <v>0</v>
      </c>
      <c r="AF25" s="8">
        <v>0</v>
      </c>
      <c r="AG25" s="6">
        <f t="shared" si="371"/>
        <v>0</v>
      </c>
      <c r="AH25" s="8">
        <v>0</v>
      </c>
      <c r="AI25" s="69">
        <f t="shared" si="372"/>
        <v>0.98911290322580647</v>
      </c>
      <c r="AJ25" s="69">
        <f t="shared" si="373"/>
        <v>0.98911290322580647</v>
      </c>
      <c r="AK25" s="69">
        <f t="shared" si="374"/>
        <v>1.3168590473093805E-2</v>
      </c>
      <c r="AL25" s="149">
        <f t="shared" si="375"/>
        <v>0</v>
      </c>
      <c r="AM25" s="69">
        <f t="shared" si="376"/>
        <v>0.7353494623655914</v>
      </c>
      <c r="AN25" s="15">
        <v>1</v>
      </c>
      <c r="AO25" s="6">
        <f t="shared" si="377"/>
        <v>744</v>
      </c>
      <c r="AP25" s="86">
        <v>27355</v>
      </c>
      <c r="AQ25" s="8">
        <v>50</v>
      </c>
      <c r="AT25" s="37" t="s">
        <v>48</v>
      </c>
      <c r="AU25" s="8">
        <v>720</v>
      </c>
      <c r="AV25" s="8">
        <v>652</v>
      </c>
      <c r="AW25" s="8">
        <v>68</v>
      </c>
      <c r="AX25" s="8">
        <v>0</v>
      </c>
      <c r="AY25" s="6">
        <f t="shared" si="378"/>
        <v>0</v>
      </c>
      <c r="AZ25" s="8">
        <v>0</v>
      </c>
      <c r="BA25" s="8">
        <f t="shared" si="379"/>
        <v>0</v>
      </c>
      <c r="BB25" s="8">
        <v>0</v>
      </c>
      <c r="BC25" s="6">
        <f t="shared" si="380"/>
        <v>0</v>
      </c>
      <c r="BD25" s="8">
        <v>0</v>
      </c>
      <c r="BE25" s="69">
        <f t="shared" si="381"/>
        <v>1</v>
      </c>
      <c r="BF25" s="69">
        <f t="shared" si="382"/>
        <v>1</v>
      </c>
      <c r="BG25" s="69">
        <f t="shared" si="383"/>
        <v>0</v>
      </c>
      <c r="BH25" s="149">
        <f t="shared" si="384"/>
        <v>0</v>
      </c>
      <c r="BI25" s="69">
        <f t="shared" si="385"/>
        <v>0.76891666666666669</v>
      </c>
      <c r="BJ25" s="6"/>
      <c r="BK25" s="6">
        <f t="shared" si="386"/>
        <v>720</v>
      </c>
      <c r="BL25" s="86">
        <v>27681</v>
      </c>
      <c r="BM25" s="8">
        <v>50</v>
      </c>
      <c r="BP25" s="37" t="s">
        <v>48</v>
      </c>
      <c r="BQ25" s="8">
        <v>734.3</v>
      </c>
      <c r="BR25" s="8">
        <v>667</v>
      </c>
      <c r="BS25" s="8">
        <v>67.3</v>
      </c>
      <c r="BT25" s="8">
        <v>9.6999999999999993</v>
      </c>
      <c r="BU25" s="69">
        <f t="shared" si="387"/>
        <v>1.303763440860215E-2</v>
      </c>
      <c r="BV25" s="8">
        <v>0</v>
      </c>
      <c r="BW25" s="69">
        <f t="shared" si="387"/>
        <v>0</v>
      </c>
      <c r="BX25" s="8">
        <v>0</v>
      </c>
      <c r="BY25" s="69">
        <f t="shared" ref="BY25" si="467">(BX25/$BP$4)</f>
        <v>0</v>
      </c>
      <c r="BZ25" s="8">
        <v>0</v>
      </c>
      <c r="CA25" s="69">
        <f t="shared" si="389"/>
        <v>0.98696236559139783</v>
      </c>
      <c r="CB25" s="69">
        <f t="shared" si="390"/>
        <v>0.98696236559139783</v>
      </c>
      <c r="CC25" s="149">
        <f t="shared" si="391"/>
        <v>1.4334269247820303E-2</v>
      </c>
      <c r="CD25" s="149">
        <f t="shared" si="392"/>
        <v>0</v>
      </c>
      <c r="CE25" s="69">
        <f t="shared" si="393"/>
        <v>0.82825268817204301</v>
      </c>
      <c r="CF25" s="69"/>
      <c r="CG25" s="42">
        <f t="shared" si="394"/>
        <v>744</v>
      </c>
      <c r="CH25" s="86">
        <v>30811</v>
      </c>
      <c r="CI25" s="8">
        <v>50</v>
      </c>
      <c r="CL25" s="37" t="s">
        <v>48</v>
      </c>
      <c r="CM25" s="8">
        <v>598.4</v>
      </c>
      <c r="CN25" s="8">
        <v>269</v>
      </c>
      <c r="CO25" s="8">
        <v>329.4</v>
      </c>
      <c r="CP25" s="8">
        <v>0</v>
      </c>
      <c r="CQ25" s="6">
        <f t="shared" si="395"/>
        <v>0</v>
      </c>
      <c r="CR25" s="8">
        <v>121.6</v>
      </c>
      <c r="CS25" s="6">
        <f t="shared" si="396"/>
        <v>0.16888888888888889</v>
      </c>
      <c r="CT25" s="6">
        <v>0</v>
      </c>
      <c r="CU25" s="6">
        <f t="shared" si="397"/>
        <v>0</v>
      </c>
      <c r="CV25" s="8">
        <v>0</v>
      </c>
      <c r="CW25" s="69">
        <f t="shared" si="398"/>
        <v>0.83111111111111113</v>
      </c>
      <c r="CX25" s="69">
        <f t="shared" si="399"/>
        <v>0.83111111111111113</v>
      </c>
      <c r="CY25" s="149">
        <f t="shared" si="400"/>
        <v>0</v>
      </c>
      <c r="CZ25" s="149">
        <f t="shared" si="401"/>
        <v>0</v>
      </c>
      <c r="DA25" s="69">
        <f t="shared" si="402"/>
        <v>0.28480555555555553</v>
      </c>
      <c r="DB25" s="6"/>
      <c r="DC25" s="6">
        <f t="shared" si="403"/>
        <v>720</v>
      </c>
      <c r="DD25" s="42">
        <v>10253</v>
      </c>
      <c r="DE25" s="8">
        <v>50</v>
      </c>
      <c r="DH25" s="37" t="s">
        <v>48</v>
      </c>
      <c r="DI25" s="8">
        <v>731.5</v>
      </c>
      <c r="DJ25" s="8">
        <v>423</v>
      </c>
      <c r="DK25" s="8">
        <v>308.5</v>
      </c>
      <c r="DL25" s="8">
        <v>12.5</v>
      </c>
      <c r="DM25" s="69">
        <f t="shared" si="404"/>
        <v>1.6801075268817203E-2</v>
      </c>
      <c r="DN25" s="8">
        <v>0</v>
      </c>
      <c r="DO25" s="69">
        <f t="shared" si="405"/>
        <v>0</v>
      </c>
      <c r="DP25" s="6">
        <v>0</v>
      </c>
      <c r="DQ25" s="69">
        <f t="shared" si="406"/>
        <v>0</v>
      </c>
      <c r="DR25" s="8">
        <v>0</v>
      </c>
      <c r="DS25" s="69">
        <f t="shared" si="407"/>
        <v>0.98319892473118276</v>
      </c>
      <c r="DT25" s="69">
        <f t="shared" si="408"/>
        <v>0.98319892473118276</v>
      </c>
      <c r="DU25" s="149">
        <f t="shared" si="409"/>
        <v>2.8702640642939151E-2</v>
      </c>
      <c r="DV25" s="149">
        <f t="shared" si="410"/>
        <v>0</v>
      </c>
      <c r="DW25" s="69">
        <f t="shared" si="411"/>
        <v>0.46349462365591398</v>
      </c>
      <c r="DX25" s="69"/>
      <c r="DY25" s="15">
        <f t="shared" si="412"/>
        <v>744</v>
      </c>
      <c r="DZ25" s="86">
        <v>17242</v>
      </c>
      <c r="EA25" s="8">
        <v>50</v>
      </c>
      <c r="ED25" s="37" t="s">
        <v>48</v>
      </c>
      <c r="EE25" s="8">
        <v>385.1</v>
      </c>
      <c r="EF25" s="8">
        <v>208</v>
      </c>
      <c r="EG25" s="8">
        <v>177.1</v>
      </c>
      <c r="EH25" s="8">
        <v>358.9</v>
      </c>
      <c r="EI25" s="6">
        <f t="shared" si="413"/>
        <v>0.48239247311827954</v>
      </c>
      <c r="EJ25" s="8">
        <v>0</v>
      </c>
      <c r="EK25" s="6">
        <f t="shared" si="414"/>
        <v>0</v>
      </c>
      <c r="EL25" s="6">
        <v>0</v>
      </c>
      <c r="EM25" s="6">
        <f t="shared" si="415"/>
        <v>0</v>
      </c>
      <c r="EN25" s="8">
        <v>0</v>
      </c>
      <c r="EO25" s="69">
        <f t="shared" si="416"/>
        <v>0.51760752688172051</v>
      </c>
      <c r="EP25" s="69">
        <f t="shared" si="417"/>
        <v>0.51760752688172051</v>
      </c>
      <c r="EQ25" s="149">
        <f t="shared" si="418"/>
        <v>0.63309225612982889</v>
      </c>
      <c r="ER25" s="149">
        <f t="shared" si="419"/>
        <v>0</v>
      </c>
      <c r="ES25" s="69">
        <f t="shared" si="420"/>
        <v>0.19075268817204302</v>
      </c>
      <c r="ET25" s="6"/>
      <c r="EU25" s="6">
        <f t="shared" si="421"/>
        <v>744</v>
      </c>
      <c r="EV25" s="86">
        <v>7096</v>
      </c>
      <c r="EW25" s="8">
        <v>50</v>
      </c>
      <c r="EZ25" s="37" t="s">
        <v>48</v>
      </c>
      <c r="FA25" s="8">
        <v>670.7</v>
      </c>
      <c r="FB25" s="8">
        <v>253</v>
      </c>
      <c r="FC25" s="8">
        <v>417.7</v>
      </c>
      <c r="FD25" s="100">
        <v>1.3</v>
      </c>
      <c r="FE25" s="6">
        <f t="shared" si="422"/>
        <v>1.9345238095238096E-3</v>
      </c>
      <c r="FF25" s="100">
        <v>0</v>
      </c>
      <c r="FG25" s="6">
        <f t="shared" si="423"/>
        <v>0</v>
      </c>
      <c r="FH25" s="6">
        <v>0</v>
      </c>
      <c r="FI25" s="6">
        <f t="shared" si="424"/>
        <v>0</v>
      </c>
      <c r="FJ25" s="8">
        <v>0</v>
      </c>
      <c r="FK25" s="69">
        <f t="shared" si="425"/>
        <v>0.90147849462365592</v>
      </c>
      <c r="FL25" s="69">
        <f t="shared" si="426"/>
        <v>0.99806547619047625</v>
      </c>
      <c r="FM25" s="149">
        <f t="shared" si="427"/>
        <v>5.1120723554856466E-3</v>
      </c>
      <c r="FN25" s="149">
        <f t="shared" si="428"/>
        <v>0</v>
      </c>
      <c r="FO25" s="69">
        <f t="shared" si="429"/>
        <v>0.3007738095238095</v>
      </c>
      <c r="FP25" s="6"/>
      <c r="FQ25" s="6">
        <f t="shared" si="430"/>
        <v>672</v>
      </c>
      <c r="FR25" s="42">
        <v>10106</v>
      </c>
      <c r="FS25" s="8">
        <v>50</v>
      </c>
      <c r="FV25" s="37" t="s">
        <v>48</v>
      </c>
      <c r="FW25" s="21">
        <v>744</v>
      </c>
      <c r="FX25" s="100">
        <v>441</v>
      </c>
      <c r="FY25" s="100">
        <v>303</v>
      </c>
      <c r="FZ25" s="8">
        <v>0</v>
      </c>
      <c r="GA25" s="69">
        <f t="shared" si="431"/>
        <v>0</v>
      </c>
      <c r="GB25" s="8">
        <v>0</v>
      </c>
      <c r="GC25" s="69">
        <f t="shared" si="432"/>
        <v>0</v>
      </c>
      <c r="GD25" s="6">
        <v>0</v>
      </c>
      <c r="GE25" s="6">
        <f t="shared" si="433"/>
        <v>0</v>
      </c>
      <c r="GF25" s="8">
        <v>0</v>
      </c>
      <c r="GG25" s="69">
        <f t="shared" si="434"/>
        <v>1</v>
      </c>
      <c r="GH25" s="69">
        <f t="shared" si="435"/>
        <v>1</v>
      </c>
      <c r="GI25" s="149">
        <f t="shared" si="436"/>
        <v>0</v>
      </c>
      <c r="GJ25" s="149">
        <f t="shared" si="437"/>
        <v>0</v>
      </c>
      <c r="GK25" s="69">
        <f t="shared" si="438"/>
        <v>0.38481182795698926</v>
      </c>
      <c r="GL25" s="69"/>
      <c r="GM25" s="6">
        <f t="shared" si="439"/>
        <v>744</v>
      </c>
      <c r="GN25" s="101">
        <v>14315</v>
      </c>
      <c r="GO25" s="8">
        <v>50</v>
      </c>
      <c r="GR25" s="37" t="s">
        <v>48</v>
      </c>
      <c r="GS25" s="8">
        <v>703.7</v>
      </c>
      <c r="GT25" s="8">
        <v>486</v>
      </c>
      <c r="GU25" s="8">
        <v>217.7</v>
      </c>
      <c r="GV25" s="8">
        <v>16.3</v>
      </c>
      <c r="GW25" s="6">
        <f t="shared" si="440"/>
        <v>2.2638888888888889E-2</v>
      </c>
      <c r="GX25" s="8">
        <v>0</v>
      </c>
      <c r="GY25" s="6">
        <f t="shared" si="441"/>
        <v>0</v>
      </c>
      <c r="GZ25" s="6">
        <v>0</v>
      </c>
      <c r="HA25" s="6">
        <f t="shared" si="442"/>
        <v>0</v>
      </c>
      <c r="HB25" s="8">
        <v>0</v>
      </c>
      <c r="HC25" s="69">
        <f t="shared" si="443"/>
        <v>0.94583333333333341</v>
      </c>
      <c r="HD25" s="69">
        <f t="shared" si="444"/>
        <v>0.97736111111111112</v>
      </c>
      <c r="HE25" s="149">
        <f t="shared" si="445"/>
        <v>3.2450726657376069E-2</v>
      </c>
      <c r="HF25" s="149">
        <f t="shared" si="446"/>
        <v>0</v>
      </c>
      <c r="HG25" s="69">
        <f t="shared" si="447"/>
        <v>0.43105555555555558</v>
      </c>
      <c r="HH25" s="15">
        <v>1</v>
      </c>
      <c r="HI25" s="6">
        <f t="shared" si="448"/>
        <v>720</v>
      </c>
      <c r="HJ25" s="42">
        <v>15518</v>
      </c>
      <c r="HK25" s="8">
        <v>50</v>
      </c>
      <c r="HN25" s="37" t="s">
        <v>48</v>
      </c>
      <c r="HO25" s="8">
        <v>676.2</v>
      </c>
      <c r="HP25" s="8">
        <v>236</v>
      </c>
      <c r="HQ25" s="8">
        <v>440.2</v>
      </c>
      <c r="HR25" s="8">
        <v>0</v>
      </c>
      <c r="HS25" s="6">
        <f t="shared" si="449"/>
        <v>0</v>
      </c>
      <c r="HT25" s="8">
        <v>58.3</v>
      </c>
      <c r="HU25" s="6">
        <f t="shared" si="450"/>
        <v>7.8360215053763435E-2</v>
      </c>
      <c r="HV25" s="6">
        <v>9.5</v>
      </c>
      <c r="HW25" s="6">
        <f t="shared" si="451"/>
        <v>1.2768817204301076E-2</v>
      </c>
      <c r="HX25" s="8">
        <v>0</v>
      </c>
      <c r="HY25" s="69">
        <f t="shared" si="452"/>
        <v>0.90887096774193554</v>
      </c>
      <c r="HZ25" s="69">
        <f t="shared" si="453"/>
        <v>0.90887096774193554</v>
      </c>
      <c r="IA25" s="149">
        <f t="shared" si="454"/>
        <v>0</v>
      </c>
      <c r="IB25" s="149">
        <f t="shared" si="455"/>
        <v>0</v>
      </c>
      <c r="IC25" s="69">
        <f t="shared" si="456"/>
        <v>0.19252688172043012</v>
      </c>
      <c r="ID25" s="15">
        <v>0</v>
      </c>
      <c r="IE25" s="6">
        <f t="shared" si="457"/>
        <v>744</v>
      </c>
      <c r="IF25" s="86">
        <v>7162</v>
      </c>
      <c r="IG25" s="8">
        <v>50</v>
      </c>
      <c r="IJ25" s="37" t="s">
        <v>48</v>
      </c>
      <c r="IK25" s="52">
        <v>696.7</v>
      </c>
      <c r="IL25" s="52">
        <v>298</v>
      </c>
      <c r="IM25" s="52">
        <v>398.7</v>
      </c>
      <c r="IN25" s="52">
        <v>23.3</v>
      </c>
      <c r="IO25" s="69">
        <f t="shared" si="458"/>
        <v>3.2361111111111111E-2</v>
      </c>
      <c r="IP25" s="52">
        <v>0</v>
      </c>
      <c r="IQ25" s="69">
        <f t="shared" si="459"/>
        <v>0</v>
      </c>
      <c r="IR25" s="52">
        <v>0</v>
      </c>
      <c r="IS25" s="69">
        <f t="shared" si="460"/>
        <v>0</v>
      </c>
      <c r="IT25" s="8">
        <v>0</v>
      </c>
      <c r="IU25" s="69">
        <f t="shared" si="461"/>
        <v>0.96763888888888894</v>
      </c>
      <c r="IV25" s="69">
        <f t="shared" si="462"/>
        <v>0.96763888888888894</v>
      </c>
      <c r="IW25" s="149">
        <f t="shared" si="463"/>
        <v>7.2517896047307809E-2</v>
      </c>
      <c r="IX25" s="149">
        <f t="shared" si="464"/>
        <v>0</v>
      </c>
      <c r="IY25" s="69">
        <f t="shared" si="465"/>
        <v>0.26980555555555558</v>
      </c>
      <c r="IZ25" s="15">
        <v>2</v>
      </c>
      <c r="JA25" s="15">
        <f t="shared" si="466"/>
        <v>720</v>
      </c>
      <c r="JB25" s="168">
        <v>9713</v>
      </c>
      <c r="JC25" s="8">
        <v>50</v>
      </c>
    </row>
    <row r="26" spans="1:264" ht="14.25" x14ac:dyDescent="0.25">
      <c r="B26" s="37" t="s">
        <v>49</v>
      </c>
      <c r="C26" s="8">
        <v>0</v>
      </c>
      <c r="D26" s="8">
        <v>0</v>
      </c>
      <c r="E26" s="8">
        <v>0</v>
      </c>
      <c r="F26" s="8">
        <v>0</v>
      </c>
      <c r="G26" s="6">
        <f t="shared" si="359"/>
        <v>0</v>
      </c>
      <c r="H26" s="8">
        <v>744</v>
      </c>
      <c r="I26" s="6">
        <f t="shared" si="360"/>
        <v>1</v>
      </c>
      <c r="J26" s="6">
        <v>0</v>
      </c>
      <c r="K26" s="6">
        <f t="shared" si="361"/>
        <v>0</v>
      </c>
      <c r="L26" s="8">
        <v>0</v>
      </c>
      <c r="M26" s="69">
        <f t="shared" si="362"/>
        <v>0</v>
      </c>
      <c r="N26" s="69">
        <f t="shared" si="363"/>
        <v>0</v>
      </c>
      <c r="O26" s="69">
        <f t="shared" si="364"/>
        <v>0</v>
      </c>
      <c r="P26" s="149">
        <f t="shared" si="365"/>
        <v>0</v>
      </c>
      <c r="Q26" s="69">
        <f t="shared" si="366"/>
        <v>0</v>
      </c>
      <c r="R26" s="15">
        <v>0</v>
      </c>
      <c r="S26" s="6">
        <f t="shared" si="367"/>
        <v>744</v>
      </c>
      <c r="T26" s="8">
        <v>0</v>
      </c>
      <c r="U26" s="8">
        <v>50</v>
      </c>
      <c r="X26" s="37" t="s">
        <v>49</v>
      </c>
      <c r="Y26" s="6">
        <f>$X$4-AB26-AD26-AF26</f>
        <v>0</v>
      </c>
      <c r="Z26" s="8">
        <v>0</v>
      </c>
      <c r="AA26" s="8">
        <v>0</v>
      </c>
      <c r="AB26" s="8">
        <v>0</v>
      </c>
      <c r="AC26" s="6">
        <f t="shared" si="369"/>
        <v>0</v>
      </c>
      <c r="AD26" s="8">
        <v>744</v>
      </c>
      <c r="AE26" s="6">
        <f t="shared" si="370"/>
        <v>1</v>
      </c>
      <c r="AF26" s="8">
        <v>0</v>
      </c>
      <c r="AG26" s="6">
        <f t="shared" si="371"/>
        <v>0</v>
      </c>
      <c r="AH26" s="8">
        <v>0</v>
      </c>
      <c r="AI26" s="69">
        <f t="shared" si="372"/>
        <v>0</v>
      </c>
      <c r="AJ26" s="69">
        <f t="shared" si="373"/>
        <v>0</v>
      </c>
      <c r="AK26" s="69">
        <f t="shared" si="374"/>
        <v>0</v>
      </c>
      <c r="AL26" s="149">
        <f t="shared" si="375"/>
        <v>0</v>
      </c>
      <c r="AM26" s="69">
        <f t="shared" si="376"/>
        <v>0</v>
      </c>
      <c r="AN26" s="15">
        <v>0</v>
      </c>
      <c r="AO26" s="6">
        <f t="shared" si="377"/>
        <v>744</v>
      </c>
      <c r="AP26" s="8">
        <v>0</v>
      </c>
      <c r="AQ26" s="8">
        <v>50</v>
      </c>
      <c r="AT26" s="37" t="s">
        <v>49</v>
      </c>
      <c r="AU26" s="8">
        <v>0</v>
      </c>
      <c r="AV26" s="8">
        <v>0</v>
      </c>
      <c r="AW26" s="8">
        <v>0</v>
      </c>
      <c r="AX26" s="8">
        <v>0</v>
      </c>
      <c r="AY26" s="6">
        <f t="shared" si="378"/>
        <v>0</v>
      </c>
      <c r="AZ26" s="8">
        <v>720</v>
      </c>
      <c r="BA26" s="8">
        <f t="shared" si="379"/>
        <v>1</v>
      </c>
      <c r="BB26" s="8">
        <v>0</v>
      </c>
      <c r="BC26" s="6">
        <f t="shared" si="380"/>
        <v>0</v>
      </c>
      <c r="BD26" s="8">
        <v>0</v>
      </c>
      <c r="BE26" s="69">
        <f t="shared" si="381"/>
        <v>0</v>
      </c>
      <c r="BF26" s="69">
        <f t="shared" si="382"/>
        <v>0</v>
      </c>
      <c r="BG26" s="69">
        <f t="shared" si="383"/>
        <v>0</v>
      </c>
      <c r="BH26" s="149">
        <f t="shared" si="384"/>
        <v>0</v>
      </c>
      <c r="BI26" s="69">
        <f t="shared" si="385"/>
        <v>0</v>
      </c>
      <c r="BJ26" s="6"/>
      <c r="BK26" s="6">
        <f t="shared" si="386"/>
        <v>720</v>
      </c>
      <c r="BL26" s="8">
        <v>0</v>
      </c>
      <c r="BM26" s="8">
        <v>50</v>
      </c>
      <c r="BP26" s="37" t="s">
        <v>49</v>
      </c>
      <c r="BQ26" s="8">
        <v>0</v>
      </c>
      <c r="BR26" s="8">
        <v>0</v>
      </c>
      <c r="BS26" s="8">
        <v>0</v>
      </c>
      <c r="BT26" s="8">
        <v>0</v>
      </c>
      <c r="BU26" s="69">
        <f t="shared" si="387"/>
        <v>0</v>
      </c>
      <c r="BV26" s="8">
        <v>744</v>
      </c>
      <c r="BW26" s="69">
        <f t="shared" si="387"/>
        <v>1</v>
      </c>
      <c r="BX26" s="8">
        <v>0</v>
      </c>
      <c r="BY26" s="69">
        <f t="shared" ref="BY26" si="468">(BX26/$BP$4)</f>
        <v>0</v>
      </c>
      <c r="BZ26" s="8">
        <v>0</v>
      </c>
      <c r="CA26" s="69">
        <f t="shared" si="389"/>
        <v>0</v>
      </c>
      <c r="CB26" s="69">
        <f t="shared" si="390"/>
        <v>0</v>
      </c>
      <c r="CC26" s="149">
        <f t="shared" si="391"/>
        <v>0</v>
      </c>
      <c r="CD26" s="149">
        <f t="shared" si="392"/>
        <v>0</v>
      </c>
      <c r="CE26" s="69">
        <f t="shared" si="393"/>
        <v>0</v>
      </c>
      <c r="CF26" s="69"/>
      <c r="CG26" s="42">
        <f t="shared" si="394"/>
        <v>744</v>
      </c>
      <c r="CH26" s="8">
        <v>0</v>
      </c>
      <c r="CI26" s="8">
        <v>50</v>
      </c>
      <c r="CL26" s="37" t="s">
        <v>49</v>
      </c>
      <c r="CM26" s="8">
        <v>0</v>
      </c>
      <c r="CN26" s="8">
        <v>0</v>
      </c>
      <c r="CO26" s="8">
        <v>0</v>
      </c>
      <c r="CP26" s="8">
        <v>0</v>
      </c>
      <c r="CQ26" s="6">
        <f t="shared" si="395"/>
        <v>0</v>
      </c>
      <c r="CR26" s="8">
        <v>720</v>
      </c>
      <c r="CS26" s="6">
        <f t="shared" si="396"/>
        <v>1</v>
      </c>
      <c r="CT26" s="6">
        <v>0</v>
      </c>
      <c r="CU26" s="6">
        <f t="shared" si="397"/>
        <v>0</v>
      </c>
      <c r="CV26" s="8">
        <v>0</v>
      </c>
      <c r="CW26" s="69">
        <f t="shared" si="398"/>
        <v>0</v>
      </c>
      <c r="CX26" s="69">
        <f t="shared" si="399"/>
        <v>0</v>
      </c>
      <c r="CY26" s="149">
        <f t="shared" si="400"/>
        <v>0</v>
      </c>
      <c r="CZ26" s="149">
        <f t="shared" si="401"/>
        <v>0</v>
      </c>
      <c r="DA26" s="69">
        <f t="shared" si="402"/>
        <v>0</v>
      </c>
      <c r="DB26" s="6"/>
      <c r="DC26" s="6">
        <f t="shared" si="403"/>
        <v>720</v>
      </c>
      <c r="DD26" s="8">
        <v>0</v>
      </c>
      <c r="DE26" s="8">
        <v>50</v>
      </c>
      <c r="DH26" s="37" t="s">
        <v>49</v>
      </c>
      <c r="DI26" s="8">
        <v>0</v>
      </c>
      <c r="DJ26" s="8">
        <v>0</v>
      </c>
      <c r="DK26" s="8">
        <v>0</v>
      </c>
      <c r="DL26" s="8">
        <v>0</v>
      </c>
      <c r="DM26" s="69">
        <f t="shared" si="404"/>
        <v>0</v>
      </c>
      <c r="DN26" s="8">
        <v>744</v>
      </c>
      <c r="DO26" s="69">
        <f t="shared" si="405"/>
        <v>1</v>
      </c>
      <c r="DP26" s="6">
        <v>0</v>
      </c>
      <c r="DQ26" s="69">
        <f t="shared" si="406"/>
        <v>0</v>
      </c>
      <c r="DR26" s="8">
        <v>0</v>
      </c>
      <c r="DS26" s="69">
        <f t="shared" si="407"/>
        <v>0</v>
      </c>
      <c r="DT26" s="69">
        <f t="shared" si="408"/>
        <v>0</v>
      </c>
      <c r="DU26" s="149">
        <f t="shared" si="409"/>
        <v>0</v>
      </c>
      <c r="DV26" s="149">
        <f t="shared" si="410"/>
        <v>0</v>
      </c>
      <c r="DW26" s="69">
        <f t="shared" si="411"/>
        <v>0</v>
      </c>
      <c r="DX26" s="69"/>
      <c r="DY26" s="15">
        <f t="shared" si="412"/>
        <v>744</v>
      </c>
      <c r="DZ26" s="8">
        <v>0</v>
      </c>
      <c r="EA26" s="8">
        <v>50</v>
      </c>
      <c r="ED26" s="37" t="s">
        <v>49</v>
      </c>
      <c r="EE26" s="8">
        <v>0</v>
      </c>
      <c r="EF26" s="8">
        <v>0</v>
      </c>
      <c r="EG26" s="8">
        <v>0</v>
      </c>
      <c r="EH26" s="8">
        <v>0</v>
      </c>
      <c r="EI26" s="6">
        <f t="shared" si="413"/>
        <v>0</v>
      </c>
      <c r="EJ26" s="8">
        <v>744</v>
      </c>
      <c r="EK26" s="6">
        <f t="shared" si="414"/>
        <v>1</v>
      </c>
      <c r="EL26" s="6">
        <v>0</v>
      </c>
      <c r="EM26" s="6">
        <f t="shared" si="415"/>
        <v>0</v>
      </c>
      <c r="EN26" s="8">
        <v>0</v>
      </c>
      <c r="EO26" s="69">
        <f t="shared" si="416"/>
        <v>0</v>
      </c>
      <c r="EP26" s="69">
        <f t="shared" si="417"/>
        <v>0</v>
      </c>
      <c r="EQ26" s="149">
        <f t="shared" si="418"/>
        <v>0</v>
      </c>
      <c r="ER26" s="149">
        <f t="shared" si="419"/>
        <v>0</v>
      </c>
      <c r="ES26" s="69">
        <f t="shared" si="420"/>
        <v>0</v>
      </c>
      <c r="ET26" s="6"/>
      <c r="EU26" s="6">
        <f t="shared" si="421"/>
        <v>744</v>
      </c>
      <c r="EV26" s="8">
        <v>0</v>
      </c>
      <c r="EW26" s="8">
        <v>50</v>
      </c>
      <c r="EZ26" s="37" t="s">
        <v>49</v>
      </c>
      <c r="FA26" s="8">
        <v>0</v>
      </c>
      <c r="FB26" s="8">
        <v>0</v>
      </c>
      <c r="FC26" s="8">
        <v>0</v>
      </c>
      <c r="FD26" s="100">
        <v>0</v>
      </c>
      <c r="FE26" s="6">
        <f t="shared" si="422"/>
        <v>0</v>
      </c>
      <c r="FF26" s="100">
        <v>672</v>
      </c>
      <c r="FG26" s="6">
        <f t="shared" si="423"/>
        <v>1</v>
      </c>
      <c r="FH26" s="6">
        <v>0</v>
      </c>
      <c r="FI26" s="6">
        <f t="shared" si="424"/>
        <v>0</v>
      </c>
      <c r="FJ26" s="8">
        <v>0</v>
      </c>
      <c r="FK26" s="69">
        <f t="shared" si="425"/>
        <v>0</v>
      </c>
      <c r="FL26" s="69">
        <f t="shared" si="426"/>
        <v>0</v>
      </c>
      <c r="FM26" s="149">
        <f t="shared" si="427"/>
        <v>0</v>
      </c>
      <c r="FN26" s="149">
        <f t="shared" si="428"/>
        <v>0</v>
      </c>
      <c r="FO26" s="69">
        <f t="shared" si="429"/>
        <v>0</v>
      </c>
      <c r="FP26" s="6"/>
      <c r="FQ26" s="6">
        <f t="shared" si="430"/>
        <v>672</v>
      </c>
      <c r="FR26" s="8">
        <v>0</v>
      </c>
      <c r="FS26" s="8">
        <v>50</v>
      </c>
      <c r="FV26" s="37" t="s">
        <v>49</v>
      </c>
      <c r="FW26" s="21">
        <v>0</v>
      </c>
      <c r="FX26" s="100">
        <v>0</v>
      </c>
      <c r="FY26" s="100">
        <v>0</v>
      </c>
      <c r="FZ26" s="8">
        <v>0</v>
      </c>
      <c r="GA26" s="69">
        <f t="shared" si="431"/>
        <v>0</v>
      </c>
      <c r="GB26" s="8">
        <v>744</v>
      </c>
      <c r="GC26" s="69">
        <f t="shared" si="432"/>
        <v>1</v>
      </c>
      <c r="GD26" s="6">
        <v>0</v>
      </c>
      <c r="GE26" s="6">
        <f t="shared" si="433"/>
        <v>0</v>
      </c>
      <c r="GF26" s="8">
        <v>0</v>
      </c>
      <c r="GG26" s="69">
        <f t="shared" si="434"/>
        <v>0</v>
      </c>
      <c r="GH26" s="69">
        <f t="shared" si="435"/>
        <v>0</v>
      </c>
      <c r="GI26" s="149">
        <f t="shared" si="436"/>
        <v>0</v>
      </c>
      <c r="GJ26" s="149">
        <f t="shared" si="437"/>
        <v>0</v>
      </c>
      <c r="GK26" s="69">
        <f t="shared" si="438"/>
        <v>0</v>
      </c>
      <c r="GL26" s="69"/>
      <c r="GM26" s="6">
        <f t="shared" si="439"/>
        <v>744</v>
      </c>
      <c r="GN26" s="8">
        <v>0</v>
      </c>
      <c r="GO26" s="8">
        <v>50</v>
      </c>
      <c r="GR26" s="37" t="s">
        <v>49</v>
      </c>
      <c r="GS26" s="8">
        <v>0</v>
      </c>
      <c r="GT26" s="8">
        <v>0</v>
      </c>
      <c r="GU26" s="8">
        <v>0</v>
      </c>
      <c r="GV26" s="8">
        <v>0</v>
      </c>
      <c r="GW26" s="6">
        <f t="shared" si="440"/>
        <v>0</v>
      </c>
      <c r="GX26" s="8">
        <v>720</v>
      </c>
      <c r="GY26" s="6">
        <f t="shared" si="441"/>
        <v>1</v>
      </c>
      <c r="GZ26" s="6">
        <v>0</v>
      </c>
      <c r="HA26" s="6">
        <f t="shared" si="442"/>
        <v>0</v>
      </c>
      <c r="HB26" s="8">
        <v>0</v>
      </c>
      <c r="HC26" s="69">
        <f t="shared" si="443"/>
        <v>0</v>
      </c>
      <c r="HD26" s="69">
        <f t="shared" si="444"/>
        <v>0</v>
      </c>
      <c r="HE26" s="149">
        <f t="shared" si="445"/>
        <v>0</v>
      </c>
      <c r="HF26" s="149">
        <f t="shared" si="446"/>
        <v>0</v>
      </c>
      <c r="HG26" s="69">
        <f t="shared" si="447"/>
        <v>0</v>
      </c>
      <c r="HH26" s="15">
        <v>0</v>
      </c>
      <c r="HI26" s="6">
        <f t="shared" si="448"/>
        <v>720</v>
      </c>
      <c r="HJ26" s="8">
        <v>0</v>
      </c>
      <c r="HK26" s="8">
        <v>50</v>
      </c>
      <c r="HN26" s="37" t="s">
        <v>49</v>
      </c>
      <c r="HO26" s="8">
        <v>0</v>
      </c>
      <c r="HP26" s="8">
        <v>0</v>
      </c>
      <c r="HQ26" s="8">
        <v>0</v>
      </c>
      <c r="HR26" s="8">
        <v>0</v>
      </c>
      <c r="HS26" s="6">
        <f t="shared" si="449"/>
        <v>0</v>
      </c>
      <c r="HT26" s="8">
        <v>744</v>
      </c>
      <c r="HU26" s="6">
        <f t="shared" si="450"/>
        <v>1</v>
      </c>
      <c r="HV26" s="8">
        <v>0</v>
      </c>
      <c r="HW26" s="6">
        <f t="shared" si="451"/>
        <v>0</v>
      </c>
      <c r="HX26" s="8">
        <v>0</v>
      </c>
      <c r="HY26" s="69">
        <f t="shared" si="452"/>
        <v>0</v>
      </c>
      <c r="HZ26" s="69">
        <f t="shared" si="453"/>
        <v>0</v>
      </c>
      <c r="IA26" s="149">
        <f t="shared" si="454"/>
        <v>0</v>
      </c>
      <c r="IB26" s="149">
        <f t="shared" si="455"/>
        <v>0</v>
      </c>
      <c r="IC26" s="69">
        <f t="shared" si="456"/>
        <v>0</v>
      </c>
      <c r="ID26" s="15">
        <v>0</v>
      </c>
      <c r="IE26" s="6">
        <f t="shared" si="457"/>
        <v>744</v>
      </c>
      <c r="IF26" s="8">
        <v>0</v>
      </c>
      <c r="IG26" s="8">
        <v>50</v>
      </c>
      <c r="IJ26" s="37" t="s">
        <v>49</v>
      </c>
      <c r="IK26" s="52">
        <v>0</v>
      </c>
      <c r="IL26" s="52">
        <v>0</v>
      </c>
      <c r="IM26" s="52">
        <v>0</v>
      </c>
      <c r="IN26" s="52">
        <v>0</v>
      </c>
      <c r="IO26" s="69">
        <f t="shared" si="458"/>
        <v>0</v>
      </c>
      <c r="IP26" s="52">
        <v>720</v>
      </c>
      <c r="IQ26" s="69">
        <f t="shared" si="459"/>
        <v>1</v>
      </c>
      <c r="IR26" s="52">
        <v>0</v>
      </c>
      <c r="IS26" s="69">
        <f t="shared" si="460"/>
        <v>0</v>
      </c>
      <c r="IT26" s="8">
        <v>0</v>
      </c>
      <c r="IU26" s="69">
        <f t="shared" si="461"/>
        <v>0</v>
      </c>
      <c r="IV26" s="69">
        <f t="shared" si="462"/>
        <v>0</v>
      </c>
      <c r="IW26" s="149">
        <f t="shared" si="463"/>
        <v>0</v>
      </c>
      <c r="IX26" s="149">
        <f t="shared" si="464"/>
        <v>0</v>
      </c>
      <c r="IY26" s="69">
        <f t="shared" si="465"/>
        <v>0</v>
      </c>
      <c r="IZ26" s="15">
        <v>0</v>
      </c>
      <c r="JA26" s="15">
        <f t="shared" si="466"/>
        <v>720</v>
      </c>
      <c r="JB26" s="54">
        <v>0</v>
      </c>
      <c r="JC26" s="8">
        <v>50</v>
      </c>
    </row>
    <row r="27" spans="1:264" ht="14.25" x14ac:dyDescent="0.25">
      <c r="B27" s="37" t="s">
        <v>50</v>
      </c>
      <c r="C27" s="8">
        <v>705.9</v>
      </c>
      <c r="D27" s="8">
        <v>203</v>
      </c>
      <c r="E27" s="8">
        <v>502.9</v>
      </c>
      <c r="F27" s="8">
        <v>29.6</v>
      </c>
      <c r="G27" s="6">
        <f t="shared" si="359"/>
        <v>3.9784946236559142E-2</v>
      </c>
      <c r="H27" s="8">
        <v>0</v>
      </c>
      <c r="I27" s="6">
        <f t="shared" si="360"/>
        <v>0</v>
      </c>
      <c r="J27" s="6">
        <v>8.5</v>
      </c>
      <c r="K27" s="6">
        <f t="shared" si="361"/>
        <v>1.1424731182795699E-2</v>
      </c>
      <c r="L27" s="8">
        <v>0</v>
      </c>
      <c r="M27" s="69">
        <f t="shared" si="362"/>
        <v>0.94879032258064511</v>
      </c>
      <c r="N27" s="69">
        <f t="shared" si="363"/>
        <v>0.94879032258064511</v>
      </c>
      <c r="O27" s="69">
        <f t="shared" si="364"/>
        <v>0.12725709372312985</v>
      </c>
      <c r="P27" s="149">
        <f t="shared" si="365"/>
        <v>0</v>
      </c>
      <c r="Q27" s="69">
        <f t="shared" si="366"/>
        <v>0.16841397849462367</v>
      </c>
      <c r="R27" s="15">
        <v>4</v>
      </c>
      <c r="S27" s="6">
        <f t="shared" si="367"/>
        <v>744</v>
      </c>
      <c r="T27" s="86">
        <v>6265</v>
      </c>
      <c r="U27" s="8">
        <v>50</v>
      </c>
      <c r="X27" s="37" t="s">
        <v>50</v>
      </c>
      <c r="Y27" s="6">
        <f t="shared" si="368"/>
        <v>744</v>
      </c>
      <c r="Z27" s="8">
        <v>398</v>
      </c>
      <c r="AA27" s="8">
        <v>346</v>
      </c>
      <c r="AB27" s="8">
        <v>0</v>
      </c>
      <c r="AC27" s="6">
        <f t="shared" si="369"/>
        <v>0</v>
      </c>
      <c r="AD27" s="8">
        <v>0</v>
      </c>
      <c r="AE27" s="6">
        <f t="shared" si="370"/>
        <v>0</v>
      </c>
      <c r="AF27" s="8">
        <v>0</v>
      </c>
      <c r="AG27" s="6">
        <f t="shared" si="371"/>
        <v>0</v>
      </c>
      <c r="AH27" s="8">
        <v>0</v>
      </c>
      <c r="AI27" s="69">
        <f t="shared" si="372"/>
        <v>1</v>
      </c>
      <c r="AJ27" s="69">
        <f t="shared" si="373"/>
        <v>1</v>
      </c>
      <c r="AK27" s="69">
        <f t="shared" si="374"/>
        <v>0</v>
      </c>
      <c r="AL27" s="149">
        <f t="shared" si="375"/>
        <v>0</v>
      </c>
      <c r="AM27" s="69">
        <f t="shared" si="376"/>
        <v>0.35943548387096774</v>
      </c>
      <c r="AN27" s="15">
        <v>0</v>
      </c>
      <c r="AO27" s="6">
        <f t="shared" si="377"/>
        <v>744</v>
      </c>
      <c r="AP27" s="86">
        <v>13371</v>
      </c>
      <c r="AQ27" s="8">
        <v>50</v>
      </c>
      <c r="AT27" s="37" t="s">
        <v>50</v>
      </c>
      <c r="AU27" s="8">
        <v>720</v>
      </c>
      <c r="AV27" s="8">
        <v>338</v>
      </c>
      <c r="AW27" s="8">
        <v>382</v>
      </c>
      <c r="AX27" s="8">
        <v>0</v>
      </c>
      <c r="AY27" s="6">
        <f t="shared" si="378"/>
        <v>0</v>
      </c>
      <c r="AZ27" s="8">
        <v>0</v>
      </c>
      <c r="BA27" s="8">
        <f t="shared" si="379"/>
        <v>0</v>
      </c>
      <c r="BB27" s="8">
        <v>0</v>
      </c>
      <c r="BC27" s="6">
        <f t="shared" si="380"/>
        <v>0</v>
      </c>
      <c r="BD27" s="8">
        <v>0</v>
      </c>
      <c r="BE27" s="69">
        <f t="shared" si="381"/>
        <v>1</v>
      </c>
      <c r="BF27" s="69">
        <f t="shared" si="382"/>
        <v>1</v>
      </c>
      <c r="BG27" s="69">
        <f t="shared" si="383"/>
        <v>0</v>
      </c>
      <c r="BH27" s="149">
        <f t="shared" si="384"/>
        <v>0</v>
      </c>
      <c r="BI27" s="69">
        <f t="shared" si="385"/>
        <v>0.32338888888888889</v>
      </c>
      <c r="BJ27" s="6"/>
      <c r="BK27" s="6">
        <f t="shared" si="386"/>
        <v>720</v>
      </c>
      <c r="BL27" s="86">
        <v>11642</v>
      </c>
      <c r="BM27" s="8">
        <v>50</v>
      </c>
      <c r="BP27" s="37" t="s">
        <v>50</v>
      </c>
      <c r="BQ27" s="8">
        <v>744</v>
      </c>
      <c r="BR27" s="8">
        <v>427</v>
      </c>
      <c r="BS27" s="8">
        <v>317</v>
      </c>
      <c r="BT27" s="8">
        <v>0</v>
      </c>
      <c r="BU27" s="69">
        <f t="shared" si="387"/>
        <v>0</v>
      </c>
      <c r="BV27" s="8">
        <v>0</v>
      </c>
      <c r="BW27" s="69">
        <f t="shared" si="387"/>
        <v>0</v>
      </c>
      <c r="BX27" s="8">
        <v>0</v>
      </c>
      <c r="BY27" s="69">
        <f t="shared" ref="BY27" si="469">(BX27/$BP$4)</f>
        <v>0</v>
      </c>
      <c r="BZ27" s="8">
        <v>0</v>
      </c>
      <c r="CA27" s="69">
        <f t="shared" si="389"/>
        <v>1</v>
      </c>
      <c r="CB27" s="69">
        <f t="shared" si="390"/>
        <v>1</v>
      </c>
      <c r="CC27" s="149">
        <f t="shared" si="391"/>
        <v>0</v>
      </c>
      <c r="CD27" s="149">
        <f t="shared" si="392"/>
        <v>0</v>
      </c>
      <c r="CE27" s="69">
        <f t="shared" si="393"/>
        <v>0.37161290322580648</v>
      </c>
      <c r="CF27" s="69"/>
      <c r="CG27" s="42">
        <f t="shared" si="394"/>
        <v>744</v>
      </c>
      <c r="CH27" s="86">
        <v>13824</v>
      </c>
      <c r="CI27" s="8">
        <v>50</v>
      </c>
      <c r="CL27" s="37" t="s">
        <v>50</v>
      </c>
      <c r="CM27" s="8">
        <v>578.79999999999995</v>
      </c>
      <c r="CN27" s="8">
        <v>162</v>
      </c>
      <c r="CO27" s="8">
        <v>416.8</v>
      </c>
      <c r="CP27" s="8">
        <v>141.19999999999999</v>
      </c>
      <c r="CQ27" s="6">
        <f t="shared" si="395"/>
        <v>0.1961111111111111</v>
      </c>
      <c r="CR27" s="8">
        <v>0</v>
      </c>
      <c r="CS27" s="6">
        <f t="shared" si="396"/>
        <v>0</v>
      </c>
      <c r="CT27" s="6">
        <v>0</v>
      </c>
      <c r="CU27" s="6">
        <f t="shared" si="397"/>
        <v>0</v>
      </c>
      <c r="CV27" s="8">
        <v>0</v>
      </c>
      <c r="CW27" s="69">
        <f t="shared" si="398"/>
        <v>0.80388888888888888</v>
      </c>
      <c r="CX27" s="69">
        <f t="shared" si="399"/>
        <v>0.80388888888888888</v>
      </c>
      <c r="CY27" s="149">
        <f t="shared" si="400"/>
        <v>0.46569920844327173</v>
      </c>
      <c r="CZ27" s="149">
        <f t="shared" si="401"/>
        <v>0</v>
      </c>
      <c r="DA27" s="69">
        <f t="shared" si="402"/>
        <v>0.13763888888888889</v>
      </c>
      <c r="DB27" s="6"/>
      <c r="DC27" s="6">
        <f t="shared" si="403"/>
        <v>720</v>
      </c>
      <c r="DD27" s="42">
        <v>4955</v>
      </c>
      <c r="DE27" s="8">
        <v>50</v>
      </c>
      <c r="DH27" s="37" t="s">
        <v>50</v>
      </c>
      <c r="DI27" s="8">
        <v>724.9</v>
      </c>
      <c r="DJ27" s="8">
        <v>218</v>
      </c>
      <c r="DK27" s="8">
        <v>506.9</v>
      </c>
      <c r="DL27" s="8">
        <v>19.100000000000001</v>
      </c>
      <c r="DM27" s="69">
        <f t="shared" si="404"/>
        <v>2.5672043010752689E-2</v>
      </c>
      <c r="DN27" s="8">
        <v>0</v>
      </c>
      <c r="DO27" s="69">
        <f t="shared" si="405"/>
        <v>0</v>
      </c>
      <c r="DP27" s="6">
        <v>0</v>
      </c>
      <c r="DQ27" s="69">
        <f t="shared" si="406"/>
        <v>0</v>
      </c>
      <c r="DR27" s="8">
        <v>0</v>
      </c>
      <c r="DS27" s="69">
        <f t="shared" si="407"/>
        <v>0.97432795698924723</v>
      </c>
      <c r="DT27" s="69">
        <f t="shared" si="408"/>
        <v>0.97432795698924723</v>
      </c>
      <c r="DU27" s="149">
        <f t="shared" si="409"/>
        <v>8.0556727119358934E-2</v>
      </c>
      <c r="DV27" s="149">
        <f t="shared" si="410"/>
        <v>0</v>
      </c>
      <c r="DW27" s="69">
        <f t="shared" si="411"/>
        <v>0.17475806451612902</v>
      </c>
      <c r="DX27" s="69"/>
      <c r="DY27" s="15">
        <f t="shared" si="412"/>
        <v>744</v>
      </c>
      <c r="DZ27" s="86">
        <v>6501</v>
      </c>
      <c r="EA27" s="8">
        <v>50</v>
      </c>
      <c r="ED27" s="37" t="s">
        <v>50</v>
      </c>
      <c r="EE27" s="8">
        <v>523.20000000000005</v>
      </c>
      <c r="EF27" s="8">
        <v>247</v>
      </c>
      <c r="EG27" s="8">
        <v>276.2</v>
      </c>
      <c r="EH27" s="8">
        <v>220.8</v>
      </c>
      <c r="EI27" s="6">
        <f t="shared" si="413"/>
        <v>0.29677419354838713</v>
      </c>
      <c r="EJ27" s="8">
        <v>0</v>
      </c>
      <c r="EK27" s="6">
        <f t="shared" si="414"/>
        <v>0</v>
      </c>
      <c r="EL27" s="6">
        <v>0</v>
      </c>
      <c r="EM27" s="6">
        <f t="shared" si="415"/>
        <v>0</v>
      </c>
      <c r="EN27" s="8">
        <v>0</v>
      </c>
      <c r="EO27" s="69">
        <f t="shared" si="416"/>
        <v>0.70322580645161292</v>
      </c>
      <c r="EP27" s="69">
        <f t="shared" si="417"/>
        <v>0.70322580645161292</v>
      </c>
      <c r="EQ27" s="149">
        <f t="shared" si="418"/>
        <v>0.47199657973492948</v>
      </c>
      <c r="ER27" s="149">
        <f t="shared" si="419"/>
        <v>0</v>
      </c>
      <c r="ES27" s="69">
        <f t="shared" si="420"/>
        <v>0.20940860215053764</v>
      </c>
      <c r="ET27" s="6"/>
      <c r="EU27" s="6">
        <f t="shared" si="421"/>
        <v>744</v>
      </c>
      <c r="EV27" s="86">
        <v>7790</v>
      </c>
      <c r="EW27" s="8">
        <v>50</v>
      </c>
      <c r="EZ27" s="37" t="s">
        <v>50</v>
      </c>
      <c r="FA27" s="8">
        <v>672</v>
      </c>
      <c r="FB27" s="8">
        <v>235</v>
      </c>
      <c r="FC27" s="8">
        <v>437</v>
      </c>
      <c r="FD27" s="100">
        <v>0</v>
      </c>
      <c r="FE27" s="6">
        <f t="shared" si="422"/>
        <v>0</v>
      </c>
      <c r="FF27" s="100">
        <v>0</v>
      </c>
      <c r="FG27" s="6">
        <f t="shared" si="423"/>
        <v>0</v>
      </c>
      <c r="FH27" s="6">
        <v>0</v>
      </c>
      <c r="FI27" s="6">
        <f t="shared" si="424"/>
        <v>0</v>
      </c>
      <c r="FJ27" s="8">
        <v>0</v>
      </c>
      <c r="FK27" s="69">
        <f t="shared" si="425"/>
        <v>0.90322580645161288</v>
      </c>
      <c r="FL27" s="69">
        <f t="shared" si="426"/>
        <v>1</v>
      </c>
      <c r="FM27" s="149">
        <f t="shared" si="427"/>
        <v>0</v>
      </c>
      <c r="FN27" s="149">
        <f t="shared" si="428"/>
        <v>0</v>
      </c>
      <c r="FO27" s="69">
        <f t="shared" si="429"/>
        <v>0</v>
      </c>
      <c r="FP27" s="6"/>
      <c r="FQ27" s="6">
        <f t="shared" si="430"/>
        <v>672</v>
      </c>
      <c r="FR27" s="8">
        <v>0</v>
      </c>
      <c r="FS27" s="8">
        <v>50</v>
      </c>
      <c r="FV27" s="37" t="s">
        <v>50</v>
      </c>
      <c r="FW27" s="21">
        <v>744</v>
      </c>
      <c r="FX27" s="100">
        <v>379</v>
      </c>
      <c r="FY27" s="100">
        <v>365</v>
      </c>
      <c r="FZ27" s="8">
        <v>0</v>
      </c>
      <c r="GA27" s="69">
        <f t="shared" si="431"/>
        <v>0</v>
      </c>
      <c r="GB27" s="8">
        <v>0</v>
      </c>
      <c r="GC27" s="69">
        <f t="shared" si="432"/>
        <v>0</v>
      </c>
      <c r="GD27" s="6">
        <v>0</v>
      </c>
      <c r="GE27" s="6">
        <f t="shared" si="433"/>
        <v>0</v>
      </c>
      <c r="GF27" s="8">
        <v>0</v>
      </c>
      <c r="GG27" s="69">
        <f t="shared" si="434"/>
        <v>1</v>
      </c>
      <c r="GH27" s="69">
        <f t="shared" si="435"/>
        <v>1</v>
      </c>
      <c r="GI27" s="149">
        <f t="shared" si="436"/>
        <v>0</v>
      </c>
      <c r="GJ27" s="149">
        <f t="shared" si="437"/>
        <v>0</v>
      </c>
      <c r="GK27" s="69">
        <f t="shared" si="438"/>
        <v>0.31209677419354837</v>
      </c>
      <c r="GL27" s="69"/>
      <c r="GM27" s="6">
        <f t="shared" si="439"/>
        <v>744</v>
      </c>
      <c r="GN27" s="42">
        <v>11610</v>
      </c>
      <c r="GO27" s="8">
        <v>50</v>
      </c>
      <c r="GR27" s="37" t="s">
        <v>50</v>
      </c>
      <c r="GS27" s="8">
        <v>709.7</v>
      </c>
      <c r="GT27" s="8">
        <v>483</v>
      </c>
      <c r="GU27" s="8">
        <v>226.7</v>
      </c>
      <c r="GV27" s="8">
        <v>10.3</v>
      </c>
      <c r="GW27" s="6">
        <f t="shared" si="440"/>
        <v>1.4305555555555556E-2</v>
      </c>
      <c r="GX27" s="8">
        <v>0</v>
      </c>
      <c r="GY27" s="6">
        <f t="shared" si="441"/>
        <v>0</v>
      </c>
      <c r="GZ27" s="6">
        <v>0</v>
      </c>
      <c r="HA27" s="6">
        <f t="shared" si="442"/>
        <v>0</v>
      </c>
      <c r="HB27" s="8">
        <v>0</v>
      </c>
      <c r="HC27" s="69">
        <f t="shared" si="443"/>
        <v>0.95389784946236567</v>
      </c>
      <c r="HD27" s="69">
        <f t="shared" si="444"/>
        <v>0.98569444444444454</v>
      </c>
      <c r="HE27" s="149">
        <f t="shared" si="445"/>
        <v>2.0879789174944253E-2</v>
      </c>
      <c r="HF27" s="149">
        <f t="shared" si="446"/>
        <v>0</v>
      </c>
      <c r="HG27" s="69">
        <f t="shared" si="447"/>
        <v>0.43883333333333335</v>
      </c>
      <c r="HH27" s="15">
        <v>0</v>
      </c>
      <c r="HI27" s="6">
        <f t="shared" si="448"/>
        <v>720</v>
      </c>
      <c r="HJ27" s="42">
        <v>15798</v>
      </c>
      <c r="HK27" s="8">
        <v>50</v>
      </c>
      <c r="HN27" s="37" t="s">
        <v>50</v>
      </c>
      <c r="HO27" s="8">
        <v>744</v>
      </c>
      <c r="HP27" s="8">
        <v>277</v>
      </c>
      <c r="HQ27" s="8">
        <v>467</v>
      </c>
      <c r="HR27" s="8">
        <v>0</v>
      </c>
      <c r="HS27" s="6">
        <f t="shared" si="449"/>
        <v>0</v>
      </c>
      <c r="HT27" s="8">
        <v>0</v>
      </c>
      <c r="HU27" s="6">
        <f t="shared" si="450"/>
        <v>0</v>
      </c>
      <c r="HV27" s="8">
        <v>0</v>
      </c>
      <c r="HW27" s="6">
        <f t="shared" si="451"/>
        <v>0</v>
      </c>
      <c r="HX27" s="8">
        <v>0</v>
      </c>
      <c r="HY27" s="69">
        <f t="shared" si="452"/>
        <v>1</v>
      </c>
      <c r="HZ27" s="69">
        <f t="shared" si="453"/>
        <v>1</v>
      </c>
      <c r="IA27" s="149">
        <f t="shared" si="454"/>
        <v>0</v>
      </c>
      <c r="IB27" s="149">
        <f t="shared" si="455"/>
        <v>0</v>
      </c>
      <c r="IC27" s="69">
        <f t="shared" si="456"/>
        <v>0.22959677419354838</v>
      </c>
      <c r="ID27" s="15">
        <v>0</v>
      </c>
      <c r="IE27" s="6">
        <f t="shared" si="457"/>
        <v>744</v>
      </c>
      <c r="IF27" s="86">
        <v>8541</v>
      </c>
      <c r="IG27" s="8">
        <v>50</v>
      </c>
      <c r="IJ27" s="37" t="s">
        <v>50</v>
      </c>
      <c r="IK27" s="52">
        <v>720</v>
      </c>
      <c r="IL27" s="52">
        <v>335</v>
      </c>
      <c r="IM27" s="52">
        <v>385</v>
      </c>
      <c r="IN27" s="52">
        <v>0</v>
      </c>
      <c r="IO27" s="69">
        <f t="shared" si="458"/>
        <v>0</v>
      </c>
      <c r="IP27" s="52">
        <v>0</v>
      </c>
      <c r="IQ27" s="69">
        <f t="shared" si="459"/>
        <v>0</v>
      </c>
      <c r="IR27" s="52">
        <v>0</v>
      </c>
      <c r="IS27" s="69">
        <f t="shared" si="460"/>
        <v>0</v>
      </c>
      <c r="IT27" s="8">
        <v>0</v>
      </c>
      <c r="IU27" s="69">
        <f t="shared" si="461"/>
        <v>1</v>
      </c>
      <c r="IV27" s="69">
        <f t="shared" si="462"/>
        <v>1</v>
      </c>
      <c r="IW27" s="149">
        <f t="shared" si="463"/>
        <v>0</v>
      </c>
      <c r="IX27" s="149">
        <f t="shared" si="464"/>
        <v>0</v>
      </c>
      <c r="IY27" s="69">
        <f t="shared" si="465"/>
        <v>0.30575000000000002</v>
      </c>
      <c r="IZ27" s="15">
        <v>0</v>
      </c>
      <c r="JA27" s="15">
        <f t="shared" si="466"/>
        <v>720</v>
      </c>
      <c r="JB27" s="168">
        <v>11007</v>
      </c>
      <c r="JC27" s="8">
        <v>50</v>
      </c>
    </row>
    <row r="28" spans="1:264" ht="14.25" x14ac:dyDescent="0.25">
      <c r="B28" s="37" t="s">
        <v>51</v>
      </c>
      <c r="C28" s="8">
        <v>0</v>
      </c>
      <c r="D28" s="8">
        <v>0</v>
      </c>
      <c r="E28" s="8">
        <v>0</v>
      </c>
      <c r="F28" s="8">
        <v>0</v>
      </c>
      <c r="G28" s="6">
        <f t="shared" si="359"/>
        <v>0</v>
      </c>
      <c r="H28" s="8">
        <v>744</v>
      </c>
      <c r="I28" s="6">
        <f t="shared" si="360"/>
        <v>1</v>
      </c>
      <c r="J28" s="6">
        <v>0</v>
      </c>
      <c r="K28" s="6">
        <f t="shared" si="361"/>
        <v>0</v>
      </c>
      <c r="L28" s="8">
        <v>0</v>
      </c>
      <c r="M28" s="69">
        <f t="shared" si="362"/>
        <v>0</v>
      </c>
      <c r="N28" s="69">
        <f t="shared" si="363"/>
        <v>0</v>
      </c>
      <c r="O28" s="69">
        <f t="shared" si="364"/>
        <v>0</v>
      </c>
      <c r="P28" s="149">
        <f t="shared" si="365"/>
        <v>0</v>
      </c>
      <c r="Q28" s="69">
        <f t="shared" si="366"/>
        <v>0</v>
      </c>
      <c r="R28" s="15">
        <v>0</v>
      </c>
      <c r="S28" s="6">
        <f t="shared" si="367"/>
        <v>744</v>
      </c>
      <c r="T28" s="8">
        <v>0</v>
      </c>
      <c r="U28" s="8">
        <v>96</v>
      </c>
      <c r="X28" s="37" t="s">
        <v>51</v>
      </c>
      <c r="Y28" s="6">
        <f t="shared" si="368"/>
        <v>0</v>
      </c>
      <c r="Z28" s="8">
        <v>0</v>
      </c>
      <c r="AA28" s="8">
        <v>0</v>
      </c>
      <c r="AB28" s="8">
        <v>0</v>
      </c>
      <c r="AC28" s="6">
        <f t="shared" si="369"/>
        <v>0</v>
      </c>
      <c r="AD28" s="8">
        <v>744</v>
      </c>
      <c r="AE28" s="6">
        <f t="shared" si="370"/>
        <v>1</v>
      </c>
      <c r="AF28" s="8">
        <v>0</v>
      </c>
      <c r="AG28" s="6">
        <f t="shared" si="371"/>
        <v>0</v>
      </c>
      <c r="AH28" s="8">
        <v>0</v>
      </c>
      <c r="AI28" s="69">
        <f t="shared" si="372"/>
        <v>0</v>
      </c>
      <c r="AJ28" s="69">
        <f t="shared" si="373"/>
        <v>0</v>
      </c>
      <c r="AK28" s="69">
        <f t="shared" si="374"/>
        <v>0</v>
      </c>
      <c r="AL28" s="149">
        <f t="shared" si="375"/>
        <v>0</v>
      </c>
      <c r="AM28" s="69">
        <f t="shared" si="376"/>
        <v>0</v>
      </c>
      <c r="AN28" s="15">
        <v>0</v>
      </c>
      <c r="AO28" s="6">
        <f t="shared" si="377"/>
        <v>744</v>
      </c>
      <c r="AP28" s="8">
        <v>0</v>
      </c>
      <c r="AQ28" s="8">
        <v>96</v>
      </c>
      <c r="AT28" s="37" t="s">
        <v>51</v>
      </c>
      <c r="AU28" s="8">
        <v>0</v>
      </c>
      <c r="AV28" s="8">
        <v>0</v>
      </c>
      <c r="AW28" s="8">
        <v>0</v>
      </c>
      <c r="AX28" s="8">
        <v>0</v>
      </c>
      <c r="AY28" s="6">
        <f t="shared" si="378"/>
        <v>0</v>
      </c>
      <c r="AZ28" s="8">
        <v>720</v>
      </c>
      <c r="BA28" s="8">
        <f t="shared" si="379"/>
        <v>1</v>
      </c>
      <c r="BB28" s="8">
        <v>0</v>
      </c>
      <c r="BC28" s="6">
        <f t="shared" si="380"/>
        <v>0</v>
      </c>
      <c r="BD28" s="8">
        <v>0</v>
      </c>
      <c r="BE28" s="69">
        <f t="shared" si="381"/>
        <v>0</v>
      </c>
      <c r="BF28" s="69">
        <f t="shared" si="382"/>
        <v>0</v>
      </c>
      <c r="BG28" s="69">
        <f t="shared" si="383"/>
        <v>0</v>
      </c>
      <c r="BH28" s="149">
        <f t="shared" si="384"/>
        <v>0</v>
      </c>
      <c r="BI28" s="69">
        <f t="shared" si="385"/>
        <v>0</v>
      </c>
      <c r="BJ28" s="6"/>
      <c r="BK28" s="6">
        <f t="shared" si="386"/>
        <v>720</v>
      </c>
      <c r="BL28" s="8">
        <v>0</v>
      </c>
      <c r="BM28" s="8">
        <v>96</v>
      </c>
      <c r="BP28" s="37" t="s">
        <v>51</v>
      </c>
      <c r="BQ28" s="8">
        <v>0</v>
      </c>
      <c r="BR28" s="8">
        <v>0</v>
      </c>
      <c r="BS28" s="8">
        <v>0</v>
      </c>
      <c r="BT28" s="8">
        <v>0</v>
      </c>
      <c r="BU28" s="69">
        <f t="shared" si="387"/>
        <v>0</v>
      </c>
      <c r="BV28" s="8">
        <v>744</v>
      </c>
      <c r="BW28" s="69">
        <f t="shared" si="387"/>
        <v>1</v>
      </c>
      <c r="BX28" s="8">
        <v>0</v>
      </c>
      <c r="BY28" s="69">
        <f t="shared" ref="BY28" si="470">(BX28/$BP$4)</f>
        <v>0</v>
      </c>
      <c r="BZ28" s="8">
        <v>0</v>
      </c>
      <c r="CA28" s="69">
        <f t="shared" si="389"/>
        <v>0</v>
      </c>
      <c r="CB28" s="69">
        <f t="shared" si="390"/>
        <v>0</v>
      </c>
      <c r="CC28" s="149">
        <f t="shared" si="391"/>
        <v>0</v>
      </c>
      <c r="CD28" s="149">
        <f t="shared" si="392"/>
        <v>0</v>
      </c>
      <c r="CE28" s="69">
        <f t="shared" si="393"/>
        <v>0</v>
      </c>
      <c r="CF28" s="69"/>
      <c r="CG28" s="42">
        <f t="shared" si="394"/>
        <v>744</v>
      </c>
      <c r="CH28" s="8">
        <v>0</v>
      </c>
      <c r="CI28" s="8">
        <v>96</v>
      </c>
      <c r="CL28" s="37" t="s">
        <v>51</v>
      </c>
      <c r="CM28" s="8">
        <v>0</v>
      </c>
      <c r="CN28" s="8">
        <v>0</v>
      </c>
      <c r="CO28" s="8">
        <v>0</v>
      </c>
      <c r="CP28" s="8">
        <v>0</v>
      </c>
      <c r="CQ28" s="6">
        <f t="shared" si="395"/>
        <v>0</v>
      </c>
      <c r="CR28" s="8">
        <v>720</v>
      </c>
      <c r="CS28" s="6">
        <f t="shared" si="396"/>
        <v>1</v>
      </c>
      <c r="CT28" s="6">
        <v>0</v>
      </c>
      <c r="CU28" s="6">
        <f t="shared" si="397"/>
        <v>0</v>
      </c>
      <c r="CV28" s="8">
        <v>0</v>
      </c>
      <c r="CW28" s="69">
        <f t="shared" si="398"/>
        <v>0</v>
      </c>
      <c r="CX28" s="69">
        <f t="shared" si="399"/>
        <v>0</v>
      </c>
      <c r="CY28" s="149">
        <f t="shared" si="400"/>
        <v>0</v>
      </c>
      <c r="CZ28" s="149">
        <f t="shared" si="401"/>
        <v>0</v>
      </c>
      <c r="DA28" s="69">
        <f t="shared" si="402"/>
        <v>0</v>
      </c>
      <c r="DB28" s="6"/>
      <c r="DC28" s="6">
        <f t="shared" si="403"/>
        <v>720</v>
      </c>
      <c r="DD28" s="8">
        <v>0</v>
      </c>
      <c r="DE28" s="8">
        <v>96</v>
      </c>
      <c r="DH28" s="37" t="s">
        <v>51</v>
      </c>
      <c r="DI28" s="8">
        <v>0</v>
      </c>
      <c r="DJ28" s="8">
        <v>0</v>
      </c>
      <c r="DK28" s="8">
        <v>0</v>
      </c>
      <c r="DL28" s="8">
        <v>0</v>
      </c>
      <c r="DM28" s="69">
        <f t="shared" si="404"/>
        <v>0</v>
      </c>
      <c r="DN28" s="8">
        <v>744</v>
      </c>
      <c r="DO28" s="69">
        <f t="shared" si="405"/>
        <v>1</v>
      </c>
      <c r="DP28" s="6">
        <v>0</v>
      </c>
      <c r="DQ28" s="69">
        <f t="shared" si="406"/>
        <v>0</v>
      </c>
      <c r="DR28" s="8">
        <v>0</v>
      </c>
      <c r="DS28" s="69">
        <f t="shared" si="407"/>
        <v>0</v>
      </c>
      <c r="DT28" s="69">
        <f t="shared" si="408"/>
        <v>0</v>
      </c>
      <c r="DU28" s="149">
        <f t="shared" si="409"/>
        <v>0</v>
      </c>
      <c r="DV28" s="149">
        <f t="shared" si="410"/>
        <v>0</v>
      </c>
      <c r="DW28" s="69">
        <f t="shared" si="411"/>
        <v>0</v>
      </c>
      <c r="DX28" s="69"/>
      <c r="DY28" s="15">
        <f t="shared" si="412"/>
        <v>744</v>
      </c>
      <c r="DZ28" s="8">
        <v>0</v>
      </c>
      <c r="EA28" s="8">
        <v>96</v>
      </c>
      <c r="ED28" s="37" t="s">
        <v>51</v>
      </c>
      <c r="EE28" s="8">
        <v>0</v>
      </c>
      <c r="EF28" s="8">
        <v>0</v>
      </c>
      <c r="EG28" s="8">
        <v>0</v>
      </c>
      <c r="EH28" s="8">
        <v>0</v>
      </c>
      <c r="EI28" s="6">
        <f t="shared" si="413"/>
        <v>0</v>
      </c>
      <c r="EJ28" s="8">
        <v>744</v>
      </c>
      <c r="EK28" s="6">
        <f t="shared" si="414"/>
        <v>1</v>
      </c>
      <c r="EL28" s="6">
        <v>0</v>
      </c>
      <c r="EM28" s="6">
        <f t="shared" si="415"/>
        <v>0</v>
      </c>
      <c r="EN28" s="8">
        <v>0</v>
      </c>
      <c r="EO28" s="69">
        <f t="shared" si="416"/>
        <v>0</v>
      </c>
      <c r="EP28" s="69">
        <f t="shared" si="417"/>
        <v>0</v>
      </c>
      <c r="EQ28" s="149">
        <f t="shared" si="418"/>
        <v>0</v>
      </c>
      <c r="ER28" s="149">
        <f t="shared" si="419"/>
        <v>0</v>
      </c>
      <c r="ES28" s="69">
        <f t="shared" si="420"/>
        <v>0</v>
      </c>
      <c r="ET28" s="6"/>
      <c r="EU28" s="6">
        <f t="shared" si="421"/>
        <v>744</v>
      </c>
      <c r="EV28" s="8">
        <v>0</v>
      </c>
      <c r="EW28" s="8">
        <v>96</v>
      </c>
      <c r="EZ28" s="37" t="s">
        <v>51</v>
      </c>
      <c r="FA28" s="8">
        <v>0</v>
      </c>
      <c r="FB28" s="8">
        <v>0</v>
      </c>
      <c r="FC28" s="8">
        <v>0</v>
      </c>
      <c r="FD28" s="8">
        <v>0</v>
      </c>
      <c r="FE28" s="6">
        <f t="shared" si="422"/>
        <v>0</v>
      </c>
      <c r="FF28" s="8">
        <v>672</v>
      </c>
      <c r="FG28" s="6">
        <f t="shared" si="423"/>
        <v>1</v>
      </c>
      <c r="FH28" s="6">
        <v>0</v>
      </c>
      <c r="FI28" s="6">
        <f t="shared" si="424"/>
        <v>0</v>
      </c>
      <c r="FJ28" s="8">
        <v>0</v>
      </c>
      <c r="FK28" s="69">
        <f t="shared" si="425"/>
        <v>0</v>
      </c>
      <c r="FL28" s="69">
        <f t="shared" si="426"/>
        <v>0</v>
      </c>
      <c r="FM28" s="149">
        <f t="shared" si="427"/>
        <v>0</v>
      </c>
      <c r="FN28" s="149">
        <f t="shared" si="428"/>
        <v>0</v>
      </c>
      <c r="FO28" s="69">
        <f t="shared" si="429"/>
        <v>0</v>
      </c>
      <c r="FP28" s="6"/>
      <c r="FQ28" s="6">
        <f t="shared" si="430"/>
        <v>672</v>
      </c>
      <c r="FR28" s="8">
        <v>0</v>
      </c>
      <c r="FS28" s="8">
        <v>96</v>
      </c>
      <c r="FV28" s="37" t="s">
        <v>51</v>
      </c>
      <c r="FW28" s="8">
        <v>0</v>
      </c>
      <c r="FX28" s="8">
        <v>0</v>
      </c>
      <c r="FY28" s="8">
        <v>0</v>
      </c>
      <c r="FZ28" s="8">
        <v>0</v>
      </c>
      <c r="GA28" s="69">
        <f t="shared" si="431"/>
        <v>0</v>
      </c>
      <c r="GB28" s="8">
        <v>744</v>
      </c>
      <c r="GC28" s="69">
        <f t="shared" si="432"/>
        <v>1</v>
      </c>
      <c r="GD28" s="6">
        <v>0</v>
      </c>
      <c r="GE28" s="6">
        <f t="shared" si="433"/>
        <v>0</v>
      </c>
      <c r="GF28" s="8">
        <v>0</v>
      </c>
      <c r="GG28" s="69">
        <f t="shared" si="434"/>
        <v>0</v>
      </c>
      <c r="GH28" s="69">
        <f t="shared" si="435"/>
        <v>0</v>
      </c>
      <c r="GI28" s="149">
        <f t="shared" si="436"/>
        <v>0</v>
      </c>
      <c r="GJ28" s="149">
        <f t="shared" si="437"/>
        <v>0</v>
      </c>
      <c r="GK28" s="69">
        <f t="shared" si="438"/>
        <v>0</v>
      </c>
      <c r="GL28" s="69"/>
      <c r="GM28" s="6">
        <f t="shared" si="439"/>
        <v>744</v>
      </c>
      <c r="GN28" s="8">
        <v>0</v>
      </c>
      <c r="GO28" s="8">
        <v>96</v>
      </c>
      <c r="GR28" s="37" t="s">
        <v>51</v>
      </c>
      <c r="GS28" s="8">
        <v>0</v>
      </c>
      <c r="GT28" s="8">
        <v>0</v>
      </c>
      <c r="GU28" s="8">
        <v>0</v>
      </c>
      <c r="GV28" s="8">
        <v>0</v>
      </c>
      <c r="GW28" s="6">
        <f t="shared" si="440"/>
        <v>0</v>
      </c>
      <c r="GX28" s="8">
        <v>720</v>
      </c>
      <c r="GY28" s="6">
        <f t="shared" si="441"/>
        <v>1</v>
      </c>
      <c r="GZ28" s="6">
        <v>0</v>
      </c>
      <c r="HA28" s="6">
        <f t="shared" si="442"/>
        <v>0</v>
      </c>
      <c r="HB28" s="8">
        <v>0</v>
      </c>
      <c r="HC28" s="69">
        <f t="shared" si="443"/>
        <v>0</v>
      </c>
      <c r="HD28" s="69">
        <f t="shared" si="444"/>
        <v>0</v>
      </c>
      <c r="HE28" s="149">
        <f t="shared" si="445"/>
        <v>0</v>
      </c>
      <c r="HF28" s="149">
        <f t="shared" si="446"/>
        <v>0</v>
      </c>
      <c r="HG28" s="69">
        <f t="shared" si="447"/>
        <v>0</v>
      </c>
      <c r="HH28" s="15">
        <v>0</v>
      </c>
      <c r="HI28" s="6">
        <f t="shared" si="448"/>
        <v>720</v>
      </c>
      <c r="HJ28" s="8">
        <v>0</v>
      </c>
      <c r="HK28" s="8">
        <v>96</v>
      </c>
      <c r="HN28" s="37" t="s">
        <v>51</v>
      </c>
      <c r="HO28" s="8">
        <v>0</v>
      </c>
      <c r="HP28" s="8">
        <v>0</v>
      </c>
      <c r="HQ28" s="8">
        <v>0</v>
      </c>
      <c r="HR28" s="8">
        <v>0</v>
      </c>
      <c r="HS28" s="6">
        <f t="shared" si="449"/>
        <v>0</v>
      </c>
      <c r="HT28" s="8">
        <v>744</v>
      </c>
      <c r="HU28" s="6">
        <f t="shared" si="450"/>
        <v>1</v>
      </c>
      <c r="HV28" s="8">
        <v>0</v>
      </c>
      <c r="HW28" s="6">
        <f t="shared" si="451"/>
        <v>0</v>
      </c>
      <c r="HX28" s="8">
        <v>0</v>
      </c>
      <c r="HY28" s="69">
        <f t="shared" si="452"/>
        <v>0</v>
      </c>
      <c r="HZ28" s="69">
        <f t="shared" si="453"/>
        <v>0</v>
      </c>
      <c r="IA28" s="149">
        <f t="shared" si="454"/>
        <v>0</v>
      </c>
      <c r="IB28" s="149">
        <f t="shared" si="455"/>
        <v>0</v>
      </c>
      <c r="IC28" s="69">
        <f t="shared" si="456"/>
        <v>0</v>
      </c>
      <c r="ID28" s="15">
        <v>0</v>
      </c>
      <c r="IE28" s="6">
        <f t="shared" si="457"/>
        <v>744</v>
      </c>
      <c r="IF28" s="8">
        <v>0</v>
      </c>
      <c r="IG28" s="8">
        <v>96</v>
      </c>
      <c r="IJ28" s="37" t="s">
        <v>51</v>
      </c>
      <c r="IK28" s="52">
        <v>0</v>
      </c>
      <c r="IL28" s="52">
        <v>0</v>
      </c>
      <c r="IM28" s="52">
        <v>0</v>
      </c>
      <c r="IN28" s="52">
        <v>0</v>
      </c>
      <c r="IO28" s="69">
        <f t="shared" si="458"/>
        <v>0</v>
      </c>
      <c r="IP28" s="52">
        <v>720</v>
      </c>
      <c r="IQ28" s="69">
        <f t="shared" si="459"/>
        <v>1</v>
      </c>
      <c r="IR28" s="52">
        <v>0</v>
      </c>
      <c r="IS28" s="69">
        <f t="shared" si="460"/>
        <v>0</v>
      </c>
      <c r="IT28" s="8">
        <v>0</v>
      </c>
      <c r="IU28" s="69">
        <f t="shared" si="461"/>
        <v>0</v>
      </c>
      <c r="IV28" s="69">
        <f t="shared" si="462"/>
        <v>0</v>
      </c>
      <c r="IW28" s="149">
        <f t="shared" si="463"/>
        <v>0</v>
      </c>
      <c r="IX28" s="149">
        <f t="shared" si="464"/>
        <v>0</v>
      </c>
      <c r="IY28" s="69">
        <f t="shared" si="465"/>
        <v>0</v>
      </c>
      <c r="IZ28" s="15">
        <v>0</v>
      </c>
      <c r="JA28" s="15">
        <f t="shared" si="466"/>
        <v>720</v>
      </c>
      <c r="JB28" s="54">
        <v>0</v>
      </c>
      <c r="JC28" s="8">
        <v>96</v>
      </c>
    </row>
    <row r="29" spans="1:264" ht="15" x14ac:dyDescent="0.25">
      <c r="A29" s="74"/>
      <c r="B29" s="37" t="s">
        <v>52</v>
      </c>
      <c r="C29" s="8">
        <v>0</v>
      </c>
      <c r="D29" s="8">
        <v>0</v>
      </c>
      <c r="E29" s="8">
        <v>0</v>
      </c>
      <c r="F29" s="8">
        <v>744</v>
      </c>
      <c r="G29" s="6">
        <f t="shared" si="359"/>
        <v>1</v>
      </c>
      <c r="H29" s="8">
        <v>0</v>
      </c>
      <c r="I29" s="6">
        <f t="shared" si="360"/>
        <v>0</v>
      </c>
      <c r="J29" s="6">
        <v>0</v>
      </c>
      <c r="K29" s="6">
        <f t="shared" si="361"/>
        <v>0</v>
      </c>
      <c r="L29" s="8">
        <v>0</v>
      </c>
      <c r="M29" s="69">
        <f t="shared" si="362"/>
        <v>0</v>
      </c>
      <c r="N29" s="69">
        <f t="shared" si="363"/>
        <v>0</v>
      </c>
      <c r="O29" s="69">
        <f t="shared" si="364"/>
        <v>1</v>
      </c>
      <c r="P29" s="149">
        <f t="shared" si="365"/>
        <v>0</v>
      </c>
      <c r="Q29" s="69">
        <f t="shared" si="366"/>
        <v>0</v>
      </c>
      <c r="R29" s="15">
        <v>0</v>
      </c>
      <c r="S29" s="6">
        <f>SUM(D29:F29,H29,J29)</f>
        <v>744</v>
      </c>
      <c r="T29" s="8">
        <v>0</v>
      </c>
      <c r="U29" s="8">
        <v>50</v>
      </c>
      <c r="W29" s="74"/>
      <c r="X29" s="37" t="s">
        <v>52</v>
      </c>
      <c r="Y29" s="6">
        <f>$X$4-AB29-AD29-AF29</f>
        <v>0</v>
      </c>
      <c r="Z29" s="8">
        <v>0</v>
      </c>
      <c r="AA29" s="8">
        <v>0</v>
      </c>
      <c r="AB29" s="8">
        <v>744</v>
      </c>
      <c r="AC29" s="6">
        <f t="shared" si="369"/>
        <v>1</v>
      </c>
      <c r="AD29" s="8">
        <v>0</v>
      </c>
      <c r="AE29" s="6">
        <f t="shared" si="370"/>
        <v>0</v>
      </c>
      <c r="AF29" s="8">
        <v>0</v>
      </c>
      <c r="AG29" s="6">
        <f t="shared" si="371"/>
        <v>0</v>
      </c>
      <c r="AH29" s="8">
        <v>0</v>
      </c>
      <c r="AI29" s="69">
        <f t="shared" si="372"/>
        <v>0</v>
      </c>
      <c r="AJ29" s="69">
        <f t="shared" si="373"/>
        <v>0</v>
      </c>
      <c r="AK29" s="69">
        <f t="shared" si="374"/>
        <v>1</v>
      </c>
      <c r="AL29" s="149">
        <f t="shared" si="375"/>
        <v>0</v>
      </c>
      <c r="AM29" s="69">
        <f t="shared" si="376"/>
        <v>0</v>
      </c>
      <c r="AN29" s="15">
        <v>0</v>
      </c>
      <c r="AO29" s="6">
        <f>SUM(Z29:AB29,AD29,AF29)</f>
        <v>744</v>
      </c>
      <c r="AP29" s="8">
        <v>0</v>
      </c>
      <c r="AQ29" s="8">
        <v>50</v>
      </c>
      <c r="AS29" s="74"/>
      <c r="AT29" s="37" t="s">
        <v>52</v>
      </c>
      <c r="AU29" s="8">
        <v>9</v>
      </c>
      <c r="AV29" s="8">
        <v>9</v>
      </c>
      <c r="AW29" s="8">
        <v>0</v>
      </c>
      <c r="AX29" s="8">
        <v>711</v>
      </c>
      <c r="AY29" s="6">
        <f t="shared" si="378"/>
        <v>0.98750000000000004</v>
      </c>
      <c r="AZ29" s="8">
        <v>0</v>
      </c>
      <c r="BA29" s="8">
        <f t="shared" si="379"/>
        <v>0</v>
      </c>
      <c r="BB29" s="8">
        <v>0</v>
      </c>
      <c r="BC29" s="6">
        <f t="shared" si="380"/>
        <v>0</v>
      </c>
      <c r="BD29" s="8">
        <v>0</v>
      </c>
      <c r="BE29" s="69">
        <f t="shared" si="381"/>
        <v>1.2500000000000001E-2</v>
      </c>
      <c r="BF29" s="69">
        <f t="shared" si="382"/>
        <v>1.2500000000000001E-2</v>
      </c>
      <c r="BG29" s="69">
        <f t="shared" si="383"/>
        <v>0.98750000000000004</v>
      </c>
      <c r="BH29" s="149">
        <f t="shared" si="384"/>
        <v>0</v>
      </c>
      <c r="BI29" s="69">
        <f t="shared" si="385"/>
        <v>1.1944444444444445E-2</v>
      </c>
      <c r="BJ29" s="6"/>
      <c r="BK29" s="6">
        <f>SUM(AV29:AX29,AZ29,BB29)</f>
        <v>720</v>
      </c>
      <c r="BL29" s="8">
        <v>430</v>
      </c>
      <c r="BM29" s="8">
        <v>50</v>
      </c>
      <c r="BO29" s="74"/>
      <c r="BP29" s="37" t="s">
        <v>52</v>
      </c>
      <c r="BQ29" s="8">
        <v>670.6</v>
      </c>
      <c r="BR29" s="8">
        <v>341.5</v>
      </c>
      <c r="BS29" s="8">
        <v>329.1</v>
      </c>
      <c r="BT29" s="8">
        <v>54.8</v>
      </c>
      <c r="BU29" s="69">
        <f t="shared" si="387"/>
        <v>7.3655913978494622E-2</v>
      </c>
      <c r="BV29" s="8">
        <v>0</v>
      </c>
      <c r="BW29" s="69">
        <f t="shared" si="387"/>
        <v>0</v>
      </c>
      <c r="BX29" s="8">
        <v>18.600000000000001</v>
      </c>
      <c r="BY29" s="69">
        <f t="shared" ref="BY29" si="471">(BX29/$BP$4)</f>
        <v>2.5000000000000001E-2</v>
      </c>
      <c r="BZ29" s="8">
        <v>0</v>
      </c>
      <c r="CA29" s="69">
        <f>(BQ29/$BP$4)</f>
        <v>0.9013440860215054</v>
      </c>
      <c r="CB29" s="69">
        <f>((BQ29-BZ29)/$BP$4)</f>
        <v>0.9013440860215054</v>
      </c>
      <c r="CC29" s="149">
        <f>IF((AND(BR29=0,BT29=0)),0,(BT29+BZ29)/(BR29+BT29+BZ29))</f>
        <v>0.13827908150391116</v>
      </c>
      <c r="CD29" s="149">
        <f>BZ29/$BP$4</f>
        <v>0</v>
      </c>
      <c r="CE29" s="69">
        <f>(CH29/($BP$4*CI29))</f>
        <v>0.27841397849462368</v>
      </c>
      <c r="CF29" s="69"/>
      <c r="CG29" s="42">
        <f>SUM(BR29:BT29,BV29,BX29)</f>
        <v>744</v>
      </c>
      <c r="CH29" s="86">
        <v>10357</v>
      </c>
      <c r="CI29" s="8">
        <v>50</v>
      </c>
      <c r="CK29" s="74"/>
      <c r="CL29" s="37" t="s">
        <v>52</v>
      </c>
      <c r="CM29" s="8">
        <v>671.7</v>
      </c>
      <c r="CN29" s="8">
        <v>119.5</v>
      </c>
      <c r="CO29" s="8">
        <v>552.20000000000005</v>
      </c>
      <c r="CP29" s="8">
        <v>33.4</v>
      </c>
      <c r="CQ29" s="6">
        <f t="shared" si="395"/>
        <v>4.6388888888888889E-2</v>
      </c>
      <c r="CR29" s="8">
        <v>0</v>
      </c>
      <c r="CS29" s="6">
        <f t="shared" si="396"/>
        <v>0</v>
      </c>
      <c r="CT29" s="6">
        <v>14.9</v>
      </c>
      <c r="CU29" s="6">
        <f t="shared" si="397"/>
        <v>2.0694444444444446E-2</v>
      </c>
      <c r="CV29" s="8">
        <v>0</v>
      </c>
      <c r="CW29" s="69">
        <f t="shared" si="398"/>
        <v>0.93291666666666673</v>
      </c>
      <c r="CX29" s="69">
        <f t="shared" si="399"/>
        <v>0.93291666666666673</v>
      </c>
      <c r="CY29" s="149">
        <f t="shared" si="400"/>
        <v>0.21844342707652059</v>
      </c>
      <c r="CZ29" s="149">
        <f t="shared" si="401"/>
        <v>0</v>
      </c>
      <c r="DA29" s="69">
        <f t="shared" si="402"/>
        <v>9.3166666666666662E-2</v>
      </c>
      <c r="DB29" s="6"/>
      <c r="DC29" s="6">
        <f>SUM(CN29:CP29,CR29,CT29)</f>
        <v>720</v>
      </c>
      <c r="DD29" s="42">
        <v>3354</v>
      </c>
      <c r="DE29" s="8">
        <v>50</v>
      </c>
      <c r="DG29" s="74"/>
      <c r="DH29" s="37" t="s">
        <v>52</v>
      </c>
      <c r="DI29" s="8">
        <v>620.9</v>
      </c>
      <c r="DJ29" s="8">
        <v>149.6</v>
      </c>
      <c r="DK29" s="8">
        <v>471.3</v>
      </c>
      <c r="DL29" s="8">
        <v>123.1</v>
      </c>
      <c r="DM29" s="69">
        <f t="shared" si="404"/>
        <v>0.16545698924731181</v>
      </c>
      <c r="DN29" s="8">
        <v>0</v>
      </c>
      <c r="DO29" s="69">
        <f t="shared" si="405"/>
        <v>0</v>
      </c>
      <c r="DP29" s="6">
        <v>0</v>
      </c>
      <c r="DQ29" s="69">
        <f t="shared" si="406"/>
        <v>0</v>
      </c>
      <c r="DR29" s="8">
        <v>0</v>
      </c>
      <c r="DS29" s="69">
        <f t="shared" si="407"/>
        <v>0.83454301075268811</v>
      </c>
      <c r="DT29" s="69">
        <f t="shared" si="408"/>
        <v>0.83454301075268811</v>
      </c>
      <c r="DU29" s="149">
        <f t="shared" si="409"/>
        <v>0.45141180784745139</v>
      </c>
      <c r="DV29" s="149">
        <f t="shared" si="410"/>
        <v>0</v>
      </c>
      <c r="DW29" s="69">
        <f t="shared" si="411"/>
        <v>0.11545698924731183</v>
      </c>
      <c r="DX29" s="69"/>
      <c r="DY29" s="15">
        <f>SUM(DJ29:DL29,DN29,DP29)</f>
        <v>744</v>
      </c>
      <c r="DZ29" s="86">
        <v>4295</v>
      </c>
      <c r="EA29" s="8">
        <v>50</v>
      </c>
      <c r="EC29" s="74"/>
      <c r="ED29" s="37" t="s">
        <v>52</v>
      </c>
      <c r="EE29" s="8">
        <v>0</v>
      </c>
      <c r="EF29" s="8">
        <v>0</v>
      </c>
      <c r="EG29" s="8">
        <v>0</v>
      </c>
      <c r="EH29" s="8">
        <v>744</v>
      </c>
      <c r="EI29" s="6">
        <f t="shared" si="413"/>
        <v>1</v>
      </c>
      <c r="EJ29" s="8">
        <v>0</v>
      </c>
      <c r="EK29" s="6">
        <f t="shared" si="414"/>
        <v>0</v>
      </c>
      <c r="EL29" s="6">
        <v>0</v>
      </c>
      <c r="EM29" s="6">
        <f t="shared" si="415"/>
        <v>0</v>
      </c>
      <c r="EN29" s="8">
        <v>0</v>
      </c>
      <c r="EO29" s="69">
        <f t="shared" si="416"/>
        <v>0</v>
      </c>
      <c r="EP29" s="69">
        <f t="shared" si="417"/>
        <v>0</v>
      </c>
      <c r="EQ29" s="149">
        <f t="shared" si="418"/>
        <v>1</v>
      </c>
      <c r="ER29" s="149">
        <f t="shared" si="419"/>
        <v>0</v>
      </c>
      <c r="ES29" s="69">
        <f t="shared" si="420"/>
        <v>0</v>
      </c>
      <c r="ET29" s="6"/>
      <c r="EU29" s="6">
        <f>SUM(EF29:EH29,EJ29,EL29)</f>
        <v>744</v>
      </c>
      <c r="EV29" s="8">
        <v>0</v>
      </c>
      <c r="EW29" s="8">
        <v>50</v>
      </c>
      <c r="EY29" s="74"/>
      <c r="EZ29" s="37" t="s">
        <v>52</v>
      </c>
      <c r="FA29" s="17">
        <v>0</v>
      </c>
      <c r="FB29" s="20">
        <v>0</v>
      </c>
      <c r="FC29" s="20">
        <v>0</v>
      </c>
      <c r="FD29" s="8">
        <v>672</v>
      </c>
      <c r="FE29" s="6">
        <f t="shared" si="422"/>
        <v>1</v>
      </c>
      <c r="FF29" s="20">
        <v>0</v>
      </c>
      <c r="FG29" s="6">
        <f t="shared" si="423"/>
        <v>0</v>
      </c>
      <c r="FH29" s="6">
        <v>0</v>
      </c>
      <c r="FI29" s="6">
        <f t="shared" si="424"/>
        <v>0</v>
      </c>
      <c r="FJ29" s="8">
        <v>0</v>
      </c>
      <c r="FK29" s="69">
        <f t="shared" si="425"/>
        <v>0</v>
      </c>
      <c r="FL29" s="69">
        <f t="shared" si="426"/>
        <v>0</v>
      </c>
      <c r="FM29" s="149">
        <f t="shared" si="427"/>
        <v>1</v>
      </c>
      <c r="FN29" s="149">
        <f t="shared" si="428"/>
        <v>0</v>
      </c>
      <c r="FO29" s="69">
        <f t="shared" si="429"/>
        <v>0</v>
      </c>
      <c r="FP29" s="6"/>
      <c r="FQ29" s="6">
        <f>SUM(FB29:FD29,FF29,FH29)</f>
        <v>672</v>
      </c>
      <c r="FR29" s="8">
        <v>0</v>
      </c>
      <c r="FS29" s="8">
        <v>50</v>
      </c>
      <c r="FU29" s="74"/>
      <c r="FV29" s="37" t="s">
        <v>52</v>
      </c>
      <c r="FW29" s="8">
        <v>0</v>
      </c>
      <c r="FX29" s="8">
        <v>0</v>
      </c>
      <c r="FY29" s="8">
        <v>0</v>
      </c>
      <c r="FZ29" s="8">
        <v>744</v>
      </c>
      <c r="GA29" s="69">
        <f t="shared" si="431"/>
        <v>1</v>
      </c>
      <c r="GB29" s="8">
        <v>0</v>
      </c>
      <c r="GC29" s="69">
        <f t="shared" si="432"/>
        <v>0</v>
      </c>
      <c r="GD29" s="6">
        <v>0</v>
      </c>
      <c r="GE29" s="6">
        <f t="shared" si="433"/>
        <v>0</v>
      </c>
      <c r="GF29" s="8">
        <v>0</v>
      </c>
      <c r="GG29" s="69">
        <f t="shared" si="434"/>
        <v>0</v>
      </c>
      <c r="GH29" s="69">
        <f t="shared" si="435"/>
        <v>0</v>
      </c>
      <c r="GI29" s="149">
        <f t="shared" si="436"/>
        <v>1</v>
      </c>
      <c r="GJ29" s="149">
        <f t="shared" si="437"/>
        <v>0</v>
      </c>
      <c r="GK29" s="69">
        <f t="shared" si="438"/>
        <v>0</v>
      </c>
      <c r="GL29" s="69"/>
      <c r="GM29" s="6">
        <f>SUM(FX29:FZ29,GB29,GD29)</f>
        <v>744</v>
      </c>
      <c r="GN29" s="8">
        <v>0</v>
      </c>
      <c r="GO29" s="8">
        <v>50</v>
      </c>
      <c r="GQ29" s="74"/>
      <c r="GR29" s="37" t="s">
        <v>52</v>
      </c>
      <c r="GS29" s="8">
        <v>0</v>
      </c>
      <c r="GT29" s="8">
        <v>0</v>
      </c>
      <c r="GU29" s="8">
        <v>0</v>
      </c>
      <c r="GV29" s="8">
        <v>720</v>
      </c>
      <c r="GW29" s="6">
        <f t="shared" si="440"/>
        <v>1</v>
      </c>
      <c r="GX29" s="8">
        <v>0</v>
      </c>
      <c r="GY29" s="6">
        <f t="shared" si="441"/>
        <v>0</v>
      </c>
      <c r="GZ29" s="6">
        <v>0</v>
      </c>
      <c r="HA29" s="6">
        <f t="shared" si="442"/>
        <v>0</v>
      </c>
      <c r="HB29" s="8">
        <v>0</v>
      </c>
      <c r="HC29" s="69">
        <f t="shared" si="443"/>
        <v>0</v>
      </c>
      <c r="HD29" s="69">
        <f t="shared" si="444"/>
        <v>0</v>
      </c>
      <c r="HE29" s="149">
        <f t="shared" si="445"/>
        <v>1</v>
      </c>
      <c r="HF29" s="149">
        <f t="shared" si="446"/>
        <v>0</v>
      </c>
      <c r="HG29" s="69">
        <f t="shared" si="447"/>
        <v>0</v>
      </c>
      <c r="HH29" s="15">
        <v>0</v>
      </c>
      <c r="HI29" s="6">
        <f>SUM(GT29:GV29,GX29,GZ29)</f>
        <v>720</v>
      </c>
      <c r="HJ29" s="8">
        <v>0</v>
      </c>
      <c r="HK29" s="8">
        <v>50</v>
      </c>
      <c r="HM29" s="74"/>
      <c r="HN29" s="37" t="s">
        <v>52</v>
      </c>
      <c r="HO29" s="8">
        <v>540.5</v>
      </c>
      <c r="HP29" s="8">
        <v>249.6</v>
      </c>
      <c r="HQ29" s="8">
        <v>290.89999999999998</v>
      </c>
      <c r="HR29" s="8">
        <v>186.4</v>
      </c>
      <c r="HS29" s="6">
        <f t="shared" si="449"/>
        <v>0.25053763440860216</v>
      </c>
      <c r="HT29" s="8">
        <v>0</v>
      </c>
      <c r="HU29" s="6">
        <f t="shared" si="450"/>
        <v>0</v>
      </c>
      <c r="HV29" s="8">
        <v>17.100000000000001</v>
      </c>
      <c r="HW29" s="6">
        <f t="shared" si="451"/>
        <v>2.2983870967741939E-2</v>
      </c>
      <c r="HX29" s="8">
        <v>0</v>
      </c>
      <c r="HY29" s="69">
        <f t="shared" si="452"/>
        <v>0.72647849462365588</v>
      </c>
      <c r="HZ29" s="69">
        <f t="shared" si="453"/>
        <v>0.72647849462365588</v>
      </c>
      <c r="IA29" s="149">
        <f t="shared" si="454"/>
        <v>0.42752293577981654</v>
      </c>
      <c r="IB29" s="149">
        <f t="shared" si="455"/>
        <v>0</v>
      </c>
      <c r="IC29" s="69">
        <f t="shared" si="456"/>
        <v>0.20091397849462367</v>
      </c>
      <c r="ID29" s="15">
        <v>1</v>
      </c>
      <c r="IE29" s="6">
        <f>SUM(HP29:HR29,HT29,HV29)</f>
        <v>744</v>
      </c>
      <c r="IF29" s="86">
        <v>7474</v>
      </c>
      <c r="IG29" s="8">
        <v>50</v>
      </c>
      <c r="II29" s="74"/>
      <c r="IJ29" s="37" t="s">
        <v>52</v>
      </c>
      <c r="IK29" s="52">
        <v>719.3</v>
      </c>
      <c r="IL29" s="52">
        <v>457.4</v>
      </c>
      <c r="IM29" s="52">
        <v>261.89999999999998</v>
      </c>
      <c r="IN29" s="52">
        <v>0.7</v>
      </c>
      <c r="IO29" s="69">
        <f t="shared" si="458"/>
        <v>9.7222222222222219E-4</v>
      </c>
      <c r="IP29" s="52">
        <v>0</v>
      </c>
      <c r="IQ29" s="69">
        <f t="shared" si="459"/>
        <v>0</v>
      </c>
      <c r="IR29" s="52">
        <v>0</v>
      </c>
      <c r="IS29" s="69">
        <f t="shared" si="460"/>
        <v>0</v>
      </c>
      <c r="IT29" s="8">
        <v>0</v>
      </c>
      <c r="IU29" s="69">
        <f t="shared" si="461"/>
        <v>0.99902777777777774</v>
      </c>
      <c r="IV29" s="69">
        <f t="shared" si="462"/>
        <v>0.99902777777777774</v>
      </c>
      <c r="IW29" s="149">
        <f t="shared" si="463"/>
        <v>1.5280506439641999E-3</v>
      </c>
      <c r="IX29" s="149">
        <f t="shared" si="464"/>
        <v>0</v>
      </c>
      <c r="IY29" s="69">
        <f t="shared" si="465"/>
        <v>0.43916666666666665</v>
      </c>
      <c r="IZ29" s="15">
        <v>1</v>
      </c>
      <c r="JA29" s="15">
        <f>SUM(IL29:IN29,IP29,IR29)</f>
        <v>720</v>
      </c>
      <c r="JB29" s="168">
        <v>15810</v>
      </c>
      <c r="JC29" s="8">
        <v>50</v>
      </c>
    </row>
    <row r="30" spans="1:264" ht="14.25" x14ac:dyDescent="0.25">
      <c r="B30" s="37" t="s">
        <v>53</v>
      </c>
      <c r="C30" s="8">
        <v>0</v>
      </c>
      <c r="D30" s="8">
        <v>0</v>
      </c>
      <c r="E30" s="8">
        <v>0</v>
      </c>
      <c r="F30" s="8">
        <v>0</v>
      </c>
      <c r="G30" s="6">
        <f t="shared" si="359"/>
        <v>0</v>
      </c>
      <c r="H30" s="8">
        <v>744</v>
      </c>
      <c r="I30" s="6">
        <f t="shared" si="360"/>
        <v>1</v>
      </c>
      <c r="J30" s="6">
        <v>0</v>
      </c>
      <c r="K30" s="6">
        <f t="shared" si="361"/>
        <v>0</v>
      </c>
      <c r="L30" s="8">
        <v>0</v>
      </c>
      <c r="M30" s="69">
        <f t="shared" si="362"/>
        <v>0</v>
      </c>
      <c r="N30" s="69">
        <f t="shared" si="363"/>
        <v>0</v>
      </c>
      <c r="O30" s="69">
        <f t="shared" si="364"/>
        <v>0</v>
      </c>
      <c r="P30" s="149">
        <f t="shared" si="365"/>
        <v>0</v>
      </c>
      <c r="Q30" s="69">
        <f t="shared" si="366"/>
        <v>0</v>
      </c>
      <c r="R30" s="15">
        <v>0</v>
      </c>
      <c r="S30" s="6">
        <f t="shared" si="367"/>
        <v>744</v>
      </c>
      <c r="T30" s="8">
        <v>0</v>
      </c>
      <c r="U30" s="8">
        <v>50</v>
      </c>
      <c r="X30" s="37" t="s">
        <v>53</v>
      </c>
      <c r="Y30" s="6">
        <f t="shared" si="368"/>
        <v>0</v>
      </c>
      <c r="Z30" s="8">
        <v>0</v>
      </c>
      <c r="AA30" s="8">
        <v>0</v>
      </c>
      <c r="AB30" s="8">
        <v>0</v>
      </c>
      <c r="AC30" s="6">
        <f t="shared" si="369"/>
        <v>0</v>
      </c>
      <c r="AD30" s="8">
        <v>744</v>
      </c>
      <c r="AE30" s="6">
        <f t="shared" si="370"/>
        <v>1</v>
      </c>
      <c r="AF30" s="8">
        <v>0</v>
      </c>
      <c r="AG30" s="6">
        <f t="shared" si="371"/>
        <v>0</v>
      </c>
      <c r="AH30" s="8">
        <v>0</v>
      </c>
      <c r="AI30" s="69">
        <f t="shared" si="372"/>
        <v>0</v>
      </c>
      <c r="AJ30" s="69">
        <f t="shared" si="373"/>
        <v>0</v>
      </c>
      <c r="AK30" s="69">
        <f t="shared" si="374"/>
        <v>0</v>
      </c>
      <c r="AL30" s="149">
        <f t="shared" si="375"/>
        <v>0</v>
      </c>
      <c r="AM30" s="69">
        <f t="shared" si="376"/>
        <v>0</v>
      </c>
      <c r="AN30" s="15">
        <v>0</v>
      </c>
      <c r="AO30" s="6">
        <f t="shared" si="377"/>
        <v>744</v>
      </c>
      <c r="AP30" s="8">
        <v>0</v>
      </c>
      <c r="AQ30" s="8">
        <v>50</v>
      </c>
      <c r="AT30" s="37" t="s">
        <v>53</v>
      </c>
      <c r="AU30" s="8">
        <v>0</v>
      </c>
      <c r="AV30" s="8">
        <v>0</v>
      </c>
      <c r="AW30" s="8">
        <v>0</v>
      </c>
      <c r="AX30" s="8">
        <v>0</v>
      </c>
      <c r="AY30" s="6">
        <f t="shared" si="378"/>
        <v>0</v>
      </c>
      <c r="AZ30" s="8">
        <v>720</v>
      </c>
      <c r="BA30" s="8">
        <f t="shared" si="379"/>
        <v>1</v>
      </c>
      <c r="BB30" s="8">
        <v>0</v>
      </c>
      <c r="BC30" s="6">
        <f t="shared" si="380"/>
        <v>0</v>
      </c>
      <c r="BD30" s="8">
        <v>0</v>
      </c>
      <c r="BE30" s="69">
        <f t="shared" si="381"/>
        <v>0</v>
      </c>
      <c r="BF30" s="69">
        <f t="shared" si="382"/>
        <v>0</v>
      </c>
      <c r="BG30" s="69">
        <f t="shared" si="383"/>
        <v>0</v>
      </c>
      <c r="BH30" s="149">
        <f t="shared" si="384"/>
        <v>0</v>
      </c>
      <c r="BI30" s="69">
        <f t="shared" si="385"/>
        <v>0</v>
      </c>
      <c r="BJ30" s="6"/>
      <c r="BK30" s="6">
        <f t="shared" si="386"/>
        <v>720</v>
      </c>
      <c r="BL30" s="8">
        <v>0</v>
      </c>
      <c r="BM30" s="8">
        <v>50</v>
      </c>
      <c r="BP30" s="37" t="s">
        <v>53</v>
      </c>
      <c r="BQ30" s="8">
        <v>0</v>
      </c>
      <c r="BR30" s="8">
        <v>0</v>
      </c>
      <c r="BS30" s="8">
        <v>0</v>
      </c>
      <c r="BT30" s="8">
        <v>0</v>
      </c>
      <c r="BU30" s="69">
        <f t="shared" si="387"/>
        <v>0</v>
      </c>
      <c r="BV30" s="8">
        <v>744</v>
      </c>
      <c r="BW30" s="69">
        <f t="shared" si="387"/>
        <v>1</v>
      </c>
      <c r="BX30" s="8">
        <v>0</v>
      </c>
      <c r="BY30" s="69">
        <f t="shared" ref="BY30" si="472">(BX30/$BP$4)</f>
        <v>0</v>
      </c>
      <c r="BZ30" s="8">
        <v>0</v>
      </c>
      <c r="CA30" s="69">
        <f t="shared" ref="CA30:CA32" si="473">(BQ30/$BP$4)</f>
        <v>0</v>
      </c>
      <c r="CB30" s="69">
        <f t="shared" ref="CB30:CB32" si="474">((BQ30-BZ30)/$BP$4)</f>
        <v>0</v>
      </c>
      <c r="CC30" s="149">
        <f t="shared" ref="CC30:CC32" si="475">IF((AND(BR30=0,BT30=0)),0,(BT30+BZ30)/(BR30+BT30+BZ30))</f>
        <v>0</v>
      </c>
      <c r="CD30" s="149">
        <f t="shared" ref="CD30:CD32" si="476">BZ30/$BP$4</f>
        <v>0</v>
      </c>
      <c r="CE30" s="69">
        <f t="shared" ref="CE30:CE32" si="477">(CH30/($BP$4*CI30))</f>
        <v>8.0645161290322581E-5</v>
      </c>
      <c r="CF30" s="69"/>
      <c r="CG30" s="42">
        <f t="shared" si="394"/>
        <v>744</v>
      </c>
      <c r="CH30" s="8">
        <v>3</v>
      </c>
      <c r="CI30" s="8">
        <v>50</v>
      </c>
      <c r="CL30" s="37" t="s">
        <v>53</v>
      </c>
      <c r="CM30" s="8">
        <v>0</v>
      </c>
      <c r="CN30" s="8">
        <v>0</v>
      </c>
      <c r="CO30" s="8">
        <v>0</v>
      </c>
      <c r="CP30" s="8">
        <v>0</v>
      </c>
      <c r="CQ30" s="6">
        <f t="shared" si="395"/>
        <v>0</v>
      </c>
      <c r="CR30" s="8">
        <v>720</v>
      </c>
      <c r="CS30" s="6">
        <f t="shared" si="396"/>
        <v>1</v>
      </c>
      <c r="CT30" s="6">
        <v>0</v>
      </c>
      <c r="CU30" s="6">
        <f t="shared" si="397"/>
        <v>0</v>
      </c>
      <c r="CV30" s="8">
        <v>0</v>
      </c>
      <c r="CW30" s="69">
        <f t="shared" si="398"/>
        <v>0</v>
      </c>
      <c r="CX30" s="69">
        <f t="shared" si="399"/>
        <v>0</v>
      </c>
      <c r="CY30" s="149">
        <f t="shared" si="400"/>
        <v>0</v>
      </c>
      <c r="CZ30" s="149">
        <f t="shared" si="401"/>
        <v>0</v>
      </c>
      <c r="DA30" s="69">
        <f t="shared" si="402"/>
        <v>0</v>
      </c>
      <c r="DB30" s="6"/>
      <c r="DC30" s="6">
        <f t="shared" si="403"/>
        <v>720</v>
      </c>
      <c r="DD30" s="8">
        <v>0</v>
      </c>
      <c r="DE30" s="8">
        <v>50</v>
      </c>
      <c r="DH30" s="37" t="s">
        <v>53</v>
      </c>
      <c r="DI30" s="8">
        <v>115</v>
      </c>
      <c r="DJ30" s="8">
        <v>22.3</v>
      </c>
      <c r="DK30" s="8">
        <v>92.7</v>
      </c>
      <c r="DL30" s="8">
        <v>12.5</v>
      </c>
      <c r="DM30" s="69">
        <f t="shared" si="404"/>
        <v>1.6801075268817203E-2</v>
      </c>
      <c r="DN30" s="8">
        <v>616.5</v>
      </c>
      <c r="DO30" s="69">
        <f t="shared" si="405"/>
        <v>0.8286290322580645</v>
      </c>
      <c r="DP30" s="6">
        <v>0</v>
      </c>
      <c r="DQ30" s="69">
        <f t="shared" si="406"/>
        <v>0</v>
      </c>
      <c r="DR30" s="8">
        <v>0</v>
      </c>
      <c r="DS30" s="69">
        <f t="shared" si="407"/>
        <v>0.15456989247311828</v>
      </c>
      <c r="DT30" s="69">
        <f t="shared" si="408"/>
        <v>0.15456989247311828</v>
      </c>
      <c r="DU30" s="149">
        <f t="shared" si="409"/>
        <v>0.35919540229885061</v>
      </c>
      <c r="DV30" s="149">
        <f t="shared" si="410"/>
        <v>0</v>
      </c>
      <c r="DW30" s="69">
        <f t="shared" si="411"/>
        <v>1.8037634408602149E-2</v>
      </c>
      <c r="DX30" s="69"/>
      <c r="DY30" s="15">
        <f t="shared" si="412"/>
        <v>744</v>
      </c>
      <c r="DZ30" s="8">
        <v>671</v>
      </c>
      <c r="EA30" s="8">
        <v>50</v>
      </c>
      <c r="ED30" s="37" t="s">
        <v>53</v>
      </c>
      <c r="EE30" s="8">
        <v>12.200000000000045</v>
      </c>
      <c r="EF30" s="8">
        <v>12.200000000000045</v>
      </c>
      <c r="EG30" s="8">
        <v>0</v>
      </c>
      <c r="EH30" s="8">
        <v>731.8</v>
      </c>
      <c r="EI30" s="6">
        <f t="shared" si="413"/>
        <v>0.98360215053763433</v>
      </c>
      <c r="EJ30" s="8">
        <v>0</v>
      </c>
      <c r="EK30" s="6">
        <f t="shared" si="414"/>
        <v>0</v>
      </c>
      <c r="EL30" s="6">
        <v>0</v>
      </c>
      <c r="EM30" s="6">
        <f t="shared" si="415"/>
        <v>0</v>
      </c>
      <c r="EN30" s="8">
        <v>0</v>
      </c>
      <c r="EO30" s="69">
        <f t="shared" si="416"/>
        <v>1.6397849462365652E-2</v>
      </c>
      <c r="EP30" s="69">
        <f t="shared" si="417"/>
        <v>1.6397849462365652E-2</v>
      </c>
      <c r="EQ30" s="149">
        <f t="shared" si="418"/>
        <v>0.98360215053763433</v>
      </c>
      <c r="ER30" s="149">
        <f t="shared" si="419"/>
        <v>0</v>
      </c>
      <c r="ES30" s="69">
        <f t="shared" si="420"/>
        <v>1.8252688172043011E-2</v>
      </c>
      <c r="ET30" s="6"/>
      <c r="EU30" s="6">
        <f t="shared" si="421"/>
        <v>744</v>
      </c>
      <c r="EV30" s="8">
        <v>679</v>
      </c>
      <c r="EW30" s="8">
        <v>50</v>
      </c>
      <c r="EZ30" s="37" t="s">
        <v>53</v>
      </c>
      <c r="FA30" s="17">
        <v>0</v>
      </c>
      <c r="FB30" s="20">
        <v>0</v>
      </c>
      <c r="FC30" s="20">
        <v>0</v>
      </c>
      <c r="FD30" s="8">
        <v>672</v>
      </c>
      <c r="FE30" s="6">
        <f t="shared" si="422"/>
        <v>1</v>
      </c>
      <c r="FF30" s="20">
        <v>0</v>
      </c>
      <c r="FG30" s="6">
        <f t="shared" si="423"/>
        <v>0</v>
      </c>
      <c r="FH30" s="6">
        <v>0</v>
      </c>
      <c r="FI30" s="6">
        <f t="shared" si="424"/>
        <v>0</v>
      </c>
      <c r="FJ30" s="8">
        <v>0</v>
      </c>
      <c r="FK30" s="69">
        <f t="shared" si="425"/>
        <v>0</v>
      </c>
      <c r="FL30" s="69">
        <f t="shared" si="426"/>
        <v>0</v>
      </c>
      <c r="FM30" s="149">
        <f t="shared" si="427"/>
        <v>1</v>
      </c>
      <c r="FN30" s="149">
        <f t="shared" si="428"/>
        <v>0</v>
      </c>
      <c r="FO30" s="69">
        <f t="shared" si="429"/>
        <v>0</v>
      </c>
      <c r="FP30" s="6"/>
      <c r="FQ30" s="6">
        <f t="shared" si="430"/>
        <v>672</v>
      </c>
      <c r="FR30" s="8">
        <v>0</v>
      </c>
      <c r="FS30" s="8">
        <v>50</v>
      </c>
      <c r="FV30" s="37" t="s">
        <v>53</v>
      </c>
      <c r="FW30" s="8">
        <v>0</v>
      </c>
      <c r="FX30" s="8">
        <v>0</v>
      </c>
      <c r="FY30" s="8">
        <v>0</v>
      </c>
      <c r="FZ30" s="8">
        <v>744</v>
      </c>
      <c r="GA30" s="69">
        <f t="shared" si="431"/>
        <v>1</v>
      </c>
      <c r="GB30" s="8">
        <v>0</v>
      </c>
      <c r="GC30" s="69">
        <f t="shared" si="432"/>
        <v>0</v>
      </c>
      <c r="GD30" s="6">
        <v>0</v>
      </c>
      <c r="GE30" s="6">
        <f t="shared" si="433"/>
        <v>0</v>
      </c>
      <c r="GF30" s="8">
        <v>0</v>
      </c>
      <c r="GG30" s="69">
        <f t="shared" si="434"/>
        <v>0</v>
      </c>
      <c r="GH30" s="69">
        <f t="shared" si="435"/>
        <v>0</v>
      </c>
      <c r="GI30" s="149">
        <f t="shared" si="436"/>
        <v>1</v>
      </c>
      <c r="GJ30" s="149">
        <f t="shared" si="437"/>
        <v>0</v>
      </c>
      <c r="GK30" s="69">
        <f t="shared" si="438"/>
        <v>0</v>
      </c>
      <c r="GL30" s="69"/>
      <c r="GM30" s="6">
        <f t="shared" si="439"/>
        <v>744</v>
      </c>
      <c r="GN30" s="8">
        <v>0</v>
      </c>
      <c r="GO30" s="8">
        <v>50</v>
      </c>
      <c r="GR30" s="37" t="s">
        <v>53</v>
      </c>
      <c r="GS30" s="8">
        <v>0</v>
      </c>
      <c r="GT30" s="8">
        <v>0</v>
      </c>
      <c r="GU30" s="8">
        <v>0</v>
      </c>
      <c r="GV30" s="8">
        <v>720</v>
      </c>
      <c r="GW30" s="6">
        <f t="shared" si="440"/>
        <v>1</v>
      </c>
      <c r="GX30" s="8">
        <v>0</v>
      </c>
      <c r="GY30" s="6">
        <f t="shared" si="441"/>
        <v>0</v>
      </c>
      <c r="GZ30" s="6">
        <v>0</v>
      </c>
      <c r="HA30" s="6">
        <f t="shared" si="442"/>
        <v>0</v>
      </c>
      <c r="HB30" s="8">
        <v>0</v>
      </c>
      <c r="HC30" s="69">
        <f t="shared" si="443"/>
        <v>0</v>
      </c>
      <c r="HD30" s="69">
        <f t="shared" si="444"/>
        <v>0</v>
      </c>
      <c r="HE30" s="149">
        <f t="shared" si="445"/>
        <v>1</v>
      </c>
      <c r="HF30" s="149">
        <f t="shared" si="446"/>
        <v>0</v>
      </c>
      <c r="HG30" s="69">
        <f t="shared" si="447"/>
        <v>0</v>
      </c>
      <c r="HH30" s="15">
        <v>0</v>
      </c>
      <c r="HI30" s="6">
        <f t="shared" si="448"/>
        <v>720</v>
      </c>
      <c r="HJ30" s="8">
        <v>0</v>
      </c>
      <c r="HK30" s="8">
        <v>50</v>
      </c>
      <c r="HN30" s="37" t="s">
        <v>53</v>
      </c>
      <c r="HO30" s="8">
        <v>541.9</v>
      </c>
      <c r="HP30" s="8">
        <v>263.10000000000002</v>
      </c>
      <c r="HQ30" s="8">
        <v>278.8</v>
      </c>
      <c r="HR30" s="8">
        <v>185</v>
      </c>
      <c r="HS30" s="6">
        <f t="shared" si="449"/>
        <v>0.24865591397849462</v>
      </c>
      <c r="HT30" s="8">
        <v>0</v>
      </c>
      <c r="HU30" s="6">
        <f t="shared" si="450"/>
        <v>0</v>
      </c>
      <c r="HV30" s="8">
        <v>17.100000000000001</v>
      </c>
      <c r="HW30" s="6">
        <f t="shared" si="451"/>
        <v>2.2983870967741939E-2</v>
      </c>
      <c r="HX30" s="8">
        <v>0</v>
      </c>
      <c r="HY30" s="69">
        <f t="shared" si="452"/>
        <v>0.72836021505376336</v>
      </c>
      <c r="HZ30" s="69">
        <f t="shared" si="453"/>
        <v>0.72836021505376336</v>
      </c>
      <c r="IA30" s="149">
        <f t="shared" si="454"/>
        <v>0.41285427359964294</v>
      </c>
      <c r="IB30" s="149">
        <f t="shared" si="455"/>
        <v>0</v>
      </c>
      <c r="IC30" s="69">
        <f t="shared" si="456"/>
        <v>0.21005376344086021</v>
      </c>
      <c r="ID30" s="15">
        <v>0</v>
      </c>
      <c r="IE30" s="6">
        <f t="shared" si="457"/>
        <v>744.00000000000011</v>
      </c>
      <c r="IF30" s="86">
        <v>7814</v>
      </c>
      <c r="IG30" s="8">
        <v>50</v>
      </c>
      <c r="IJ30" s="37" t="s">
        <v>53</v>
      </c>
      <c r="IK30" s="52">
        <v>717.3</v>
      </c>
      <c r="IL30" s="52">
        <v>401.5</v>
      </c>
      <c r="IM30" s="52">
        <v>315.8</v>
      </c>
      <c r="IN30" s="52">
        <v>0</v>
      </c>
      <c r="IO30" s="69">
        <f t="shared" si="458"/>
        <v>0</v>
      </c>
      <c r="IP30" s="52">
        <v>0</v>
      </c>
      <c r="IQ30" s="69">
        <f t="shared" si="459"/>
        <v>0</v>
      </c>
      <c r="IR30" s="52">
        <v>2.7</v>
      </c>
      <c r="IS30" s="69">
        <f t="shared" si="460"/>
        <v>3.7500000000000003E-3</v>
      </c>
      <c r="IT30" s="8">
        <v>0</v>
      </c>
      <c r="IU30" s="69">
        <f t="shared" si="461"/>
        <v>0.99624999999999997</v>
      </c>
      <c r="IV30" s="69">
        <f t="shared" si="462"/>
        <v>0.99624999999999997</v>
      </c>
      <c r="IW30" s="149">
        <f t="shared" si="463"/>
        <v>0</v>
      </c>
      <c r="IX30" s="149">
        <f t="shared" si="464"/>
        <v>0</v>
      </c>
      <c r="IY30" s="69">
        <f t="shared" si="465"/>
        <v>0.37813888888888891</v>
      </c>
      <c r="IZ30" s="15">
        <v>0</v>
      </c>
      <c r="JA30" s="15">
        <f t="shared" si="466"/>
        <v>720</v>
      </c>
      <c r="JB30" s="168">
        <v>13613</v>
      </c>
      <c r="JC30" s="8">
        <v>50</v>
      </c>
    </row>
    <row r="31" spans="1:264" ht="14.25" x14ac:dyDescent="0.25">
      <c r="B31" s="37" t="s">
        <v>54</v>
      </c>
      <c r="C31" s="8">
        <v>0</v>
      </c>
      <c r="D31" s="8">
        <v>0</v>
      </c>
      <c r="E31" s="8">
        <v>0</v>
      </c>
      <c r="F31" s="8">
        <v>0</v>
      </c>
      <c r="G31" s="6">
        <f t="shared" si="359"/>
        <v>0</v>
      </c>
      <c r="H31" s="8">
        <v>744</v>
      </c>
      <c r="I31" s="6">
        <f t="shared" si="360"/>
        <v>1</v>
      </c>
      <c r="J31" s="6">
        <v>0</v>
      </c>
      <c r="K31" s="6">
        <f t="shared" si="361"/>
        <v>0</v>
      </c>
      <c r="L31" s="8">
        <v>0</v>
      </c>
      <c r="M31" s="69">
        <f t="shared" si="362"/>
        <v>0</v>
      </c>
      <c r="N31" s="69">
        <f t="shared" si="363"/>
        <v>0</v>
      </c>
      <c r="O31" s="69">
        <f t="shared" si="364"/>
        <v>0</v>
      </c>
      <c r="P31" s="149">
        <f t="shared" si="365"/>
        <v>0</v>
      </c>
      <c r="Q31" s="69">
        <f t="shared" si="366"/>
        <v>0</v>
      </c>
      <c r="R31" s="15">
        <v>0</v>
      </c>
      <c r="S31" s="6">
        <f t="shared" si="367"/>
        <v>744</v>
      </c>
      <c r="T31" s="8">
        <v>0</v>
      </c>
      <c r="U31" s="8">
        <v>50</v>
      </c>
      <c r="X31" s="37" t="s">
        <v>54</v>
      </c>
      <c r="Y31" s="6">
        <f t="shared" si="368"/>
        <v>0</v>
      </c>
      <c r="Z31" s="8">
        <v>0</v>
      </c>
      <c r="AA31" s="8">
        <v>0</v>
      </c>
      <c r="AB31" s="8">
        <v>0</v>
      </c>
      <c r="AC31" s="6">
        <f t="shared" si="369"/>
        <v>0</v>
      </c>
      <c r="AD31" s="8">
        <v>744</v>
      </c>
      <c r="AE31" s="6">
        <f t="shared" si="370"/>
        <v>1</v>
      </c>
      <c r="AF31" s="8">
        <v>0</v>
      </c>
      <c r="AG31" s="6">
        <f t="shared" si="371"/>
        <v>0</v>
      </c>
      <c r="AH31" s="8">
        <v>0</v>
      </c>
      <c r="AI31" s="69">
        <f t="shared" si="372"/>
        <v>0</v>
      </c>
      <c r="AJ31" s="69">
        <f t="shared" si="373"/>
        <v>0</v>
      </c>
      <c r="AK31" s="69">
        <f t="shared" si="374"/>
        <v>0</v>
      </c>
      <c r="AL31" s="149">
        <f t="shared" si="375"/>
        <v>0</v>
      </c>
      <c r="AM31" s="69">
        <f t="shared" si="376"/>
        <v>0</v>
      </c>
      <c r="AN31" s="15">
        <v>1</v>
      </c>
      <c r="AO31" s="6">
        <f t="shared" si="377"/>
        <v>744</v>
      </c>
      <c r="AP31" s="8">
        <v>0</v>
      </c>
      <c r="AQ31" s="8">
        <v>50</v>
      </c>
      <c r="AT31" s="37" t="s">
        <v>54</v>
      </c>
      <c r="AU31" s="8">
        <v>0</v>
      </c>
      <c r="AV31" s="8">
        <v>0</v>
      </c>
      <c r="AW31" s="8">
        <v>0</v>
      </c>
      <c r="AX31" s="8">
        <v>0</v>
      </c>
      <c r="AY31" s="6">
        <f t="shared" si="378"/>
        <v>0</v>
      </c>
      <c r="AZ31" s="8">
        <v>720</v>
      </c>
      <c r="BA31" s="8">
        <f t="shared" si="379"/>
        <v>1</v>
      </c>
      <c r="BB31" s="8">
        <v>0</v>
      </c>
      <c r="BC31" s="6">
        <f t="shared" si="380"/>
        <v>0</v>
      </c>
      <c r="BD31" s="8">
        <v>0</v>
      </c>
      <c r="BE31" s="69">
        <f t="shared" si="381"/>
        <v>0</v>
      </c>
      <c r="BF31" s="69">
        <f t="shared" si="382"/>
        <v>0</v>
      </c>
      <c r="BG31" s="69">
        <f t="shared" si="383"/>
        <v>0</v>
      </c>
      <c r="BH31" s="149">
        <f t="shared" si="384"/>
        <v>0</v>
      </c>
      <c r="BI31" s="69">
        <f t="shared" si="385"/>
        <v>0</v>
      </c>
      <c r="BJ31" s="6"/>
      <c r="BK31" s="6">
        <f t="shared" si="386"/>
        <v>720</v>
      </c>
      <c r="BL31" s="8">
        <v>0</v>
      </c>
      <c r="BM31" s="8">
        <v>50</v>
      </c>
      <c r="BP31" s="37" t="s">
        <v>54</v>
      </c>
      <c r="BQ31" s="8">
        <v>4</v>
      </c>
      <c r="BR31" s="8">
        <v>0</v>
      </c>
      <c r="BS31" s="8">
        <v>4</v>
      </c>
      <c r="BT31" s="8">
        <v>0</v>
      </c>
      <c r="BU31" s="69">
        <f t="shared" si="387"/>
        <v>0</v>
      </c>
      <c r="BV31" s="8">
        <v>740</v>
      </c>
      <c r="BW31" s="69">
        <f t="shared" si="387"/>
        <v>0.9946236559139785</v>
      </c>
      <c r="BX31" s="8">
        <v>0</v>
      </c>
      <c r="BY31" s="69">
        <f t="shared" ref="BY31" si="478">(BX31/$BP$4)</f>
        <v>0</v>
      </c>
      <c r="BZ31" s="8">
        <v>0</v>
      </c>
      <c r="CA31" s="69">
        <f t="shared" si="473"/>
        <v>5.3763440860215058E-3</v>
      </c>
      <c r="CB31" s="69">
        <f t="shared" si="474"/>
        <v>5.3763440860215058E-3</v>
      </c>
      <c r="CC31" s="149">
        <f t="shared" si="475"/>
        <v>0</v>
      </c>
      <c r="CD31" s="149">
        <f t="shared" si="476"/>
        <v>0</v>
      </c>
      <c r="CE31" s="69">
        <f t="shared" si="477"/>
        <v>0</v>
      </c>
      <c r="CF31" s="69"/>
      <c r="CG31" s="42">
        <f t="shared" si="394"/>
        <v>744</v>
      </c>
      <c r="CH31" s="8">
        <v>0</v>
      </c>
      <c r="CI31" s="8">
        <v>50</v>
      </c>
      <c r="CL31" s="37" t="s">
        <v>54</v>
      </c>
      <c r="CM31" s="8">
        <v>0</v>
      </c>
      <c r="CN31" s="8">
        <v>0</v>
      </c>
      <c r="CO31" s="8">
        <v>0</v>
      </c>
      <c r="CP31" s="8">
        <v>0</v>
      </c>
      <c r="CQ31" s="6">
        <f t="shared" si="395"/>
        <v>0</v>
      </c>
      <c r="CR31" s="8">
        <v>720</v>
      </c>
      <c r="CS31" s="6">
        <f t="shared" si="396"/>
        <v>1</v>
      </c>
      <c r="CT31" s="6">
        <v>0</v>
      </c>
      <c r="CU31" s="6">
        <f t="shared" si="397"/>
        <v>0</v>
      </c>
      <c r="CV31" s="8">
        <v>0</v>
      </c>
      <c r="CW31" s="69">
        <f t="shared" si="398"/>
        <v>0</v>
      </c>
      <c r="CX31" s="69">
        <f t="shared" si="399"/>
        <v>0</v>
      </c>
      <c r="CY31" s="149">
        <f t="shared" si="400"/>
        <v>0</v>
      </c>
      <c r="CZ31" s="149">
        <f t="shared" si="401"/>
        <v>0</v>
      </c>
      <c r="DA31" s="69">
        <f t="shared" si="402"/>
        <v>0</v>
      </c>
      <c r="DB31" s="6"/>
      <c r="DC31" s="6">
        <f t="shared" si="403"/>
        <v>720</v>
      </c>
      <c r="DD31" s="8">
        <v>0</v>
      </c>
      <c r="DE31" s="8">
        <v>50</v>
      </c>
      <c r="DH31" s="37" t="s">
        <v>54</v>
      </c>
      <c r="DI31" s="8">
        <v>0</v>
      </c>
      <c r="DJ31" s="8">
        <v>0</v>
      </c>
      <c r="DK31" s="8">
        <v>0</v>
      </c>
      <c r="DL31" s="8">
        <v>0</v>
      </c>
      <c r="DM31" s="69">
        <f t="shared" si="404"/>
        <v>0</v>
      </c>
      <c r="DN31" s="8">
        <v>744</v>
      </c>
      <c r="DO31" s="69">
        <f t="shared" si="405"/>
        <v>1</v>
      </c>
      <c r="DP31" s="6">
        <v>0</v>
      </c>
      <c r="DQ31" s="69">
        <f t="shared" si="406"/>
        <v>0</v>
      </c>
      <c r="DR31" s="8">
        <v>0</v>
      </c>
      <c r="DS31" s="69">
        <f t="shared" si="407"/>
        <v>0</v>
      </c>
      <c r="DT31" s="69">
        <f t="shared" si="408"/>
        <v>0</v>
      </c>
      <c r="DU31" s="149">
        <f t="shared" si="409"/>
        <v>0</v>
      </c>
      <c r="DV31" s="149">
        <f t="shared" si="410"/>
        <v>0</v>
      </c>
      <c r="DW31" s="69">
        <f t="shared" si="411"/>
        <v>0</v>
      </c>
      <c r="DX31" s="69"/>
      <c r="DY31" s="15">
        <f t="shared" si="412"/>
        <v>744</v>
      </c>
      <c r="DZ31" s="8">
        <v>0</v>
      </c>
      <c r="EA31" s="8">
        <v>50</v>
      </c>
      <c r="ED31" s="37" t="s">
        <v>54</v>
      </c>
      <c r="EE31" s="8">
        <v>0</v>
      </c>
      <c r="EF31" s="8">
        <v>0</v>
      </c>
      <c r="EG31" s="8">
        <v>0</v>
      </c>
      <c r="EH31" s="8">
        <v>0</v>
      </c>
      <c r="EI31" s="6">
        <f t="shared" si="413"/>
        <v>0</v>
      </c>
      <c r="EJ31" s="8">
        <v>744</v>
      </c>
      <c r="EK31" s="6">
        <f t="shared" si="414"/>
        <v>1</v>
      </c>
      <c r="EL31" s="6">
        <v>0</v>
      </c>
      <c r="EM31" s="6">
        <f t="shared" si="415"/>
        <v>0</v>
      </c>
      <c r="EN31" s="8">
        <v>0</v>
      </c>
      <c r="EO31" s="69">
        <f t="shared" si="416"/>
        <v>0</v>
      </c>
      <c r="EP31" s="69">
        <f t="shared" si="417"/>
        <v>0</v>
      </c>
      <c r="EQ31" s="149">
        <f t="shared" si="418"/>
        <v>0</v>
      </c>
      <c r="ER31" s="149">
        <f t="shared" si="419"/>
        <v>0</v>
      </c>
      <c r="ES31" s="69">
        <f t="shared" si="420"/>
        <v>0</v>
      </c>
      <c r="ET31" s="6"/>
      <c r="EU31" s="6">
        <f t="shared" si="421"/>
        <v>744</v>
      </c>
      <c r="EV31" s="8">
        <v>0</v>
      </c>
      <c r="EW31" s="8">
        <v>50</v>
      </c>
      <c r="EZ31" s="37" t="s">
        <v>54</v>
      </c>
      <c r="FA31" s="17">
        <v>0</v>
      </c>
      <c r="FB31" s="20">
        <v>0</v>
      </c>
      <c r="FC31" s="20">
        <v>0</v>
      </c>
      <c r="FD31" s="8">
        <v>0</v>
      </c>
      <c r="FE31" s="6">
        <f t="shared" si="422"/>
        <v>0</v>
      </c>
      <c r="FF31" s="20">
        <v>672</v>
      </c>
      <c r="FG31" s="6">
        <f t="shared" si="423"/>
        <v>1</v>
      </c>
      <c r="FH31" s="6">
        <v>0</v>
      </c>
      <c r="FI31" s="6">
        <f t="shared" si="424"/>
        <v>0</v>
      </c>
      <c r="FJ31" s="8">
        <v>0</v>
      </c>
      <c r="FK31" s="69">
        <f t="shared" si="425"/>
        <v>0</v>
      </c>
      <c r="FL31" s="69">
        <f t="shared" si="426"/>
        <v>0</v>
      </c>
      <c r="FM31" s="149">
        <f t="shared" si="427"/>
        <v>0</v>
      </c>
      <c r="FN31" s="149">
        <f t="shared" si="428"/>
        <v>0</v>
      </c>
      <c r="FO31" s="69">
        <f t="shared" si="429"/>
        <v>0</v>
      </c>
      <c r="FP31" s="6"/>
      <c r="FQ31" s="6">
        <f t="shared" si="430"/>
        <v>672</v>
      </c>
      <c r="FR31" s="8">
        <v>0</v>
      </c>
      <c r="FS31" s="8">
        <v>50</v>
      </c>
      <c r="FV31" s="37" t="s">
        <v>54</v>
      </c>
      <c r="FW31" s="8">
        <v>0</v>
      </c>
      <c r="FX31" s="8">
        <v>0</v>
      </c>
      <c r="FY31" s="8">
        <v>0</v>
      </c>
      <c r="FZ31" s="8">
        <v>0</v>
      </c>
      <c r="GA31" s="69">
        <f t="shared" si="431"/>
        <v>0</v>
      </c>
      <c r="GB31" s="8">
        <v>744</v>
      </c>
      <c r="GC31" s="69">
        <f t="shared" si="432"/>
        <v>1</v>
      </c>
      <c r="GD31" s="6">
        <v>0</v>
      </c>
      <c r="GE31" s="6">
        <f t="shared" si="433"/>
        <v>0</v>
      </c>
      <c r="GF31" s="8">
        <v>0</v>
      </c>
      <c r="GG31" s="69">
        <f t="shared" si="434"/>
        <v>0</v>
      </c>
      <c r="GH31" s="69">
        <f t="shared" si="435"/>
        <v>0</v>
      </c>
      <c r="GI31" s="149">
        <f t="shared" si="436"/>
        <v>0</v>
      </c>
      <c r="GJ31" s="149">
        <f t="shared" si="437"/>
        <v>0</v>
      </c>
      <c r="GK31" s="69">
        <f t="shared" si="438"/>
        <v>0</v>
      </c>
      <c r="GL31" s="69"/>
      <c r="GM31" s="6">
        <f t="shared" si="439"/>
        <v>744</v>
      </c>
      <c r="GN31" s="8">
        <v>0</v>
      </c>
      <c r="GO31" s="8">
        <v>50</v>
      </c>
      <c r="GR31" s="37" t="s">
        <v>54</v>
      </c>
      <c r="GS31" s="8">
        <v>0</v>
      </c>
      <c r="GT31" s="8">
        <v>0</v>
      </c>
      <c r="GU31" s="8">
        <v>0</v>
      </c>
      <c r="GV31" s="8">
        <v>0</v>
      </c>
      <c r="GW31" s="6">
        <f t="shared" si="440"/>
        <v>0</v>
      </c>
      <c r="GX31" s="8">
        <v>720</v>
      </c>
      <c r="GY31" s="6">
        <f t="shared" si="441"/>
        <v>1</v>
      </c>
      <c r="GZ31" s="6">
        <v>0</v>
      </c>
      <c r="HA31" s="6">
        <f t="shared" si="442"/>
        <v>0</v>
      </c>
      <c r="HB31" s="8">
        <v>0</v>
      </c>
      <c r="HC31" s="69">
        <f t="shared" si="443"/>
        <v>0</v>
      </c>
      <c r="HD31" s="69">
        <f t="shared" si="444"/>
        <v>0</v>
      </c>
      <c r="HE31" s="149">
        <f t="shared" si="445"/>
        <v>0</v>
      </c>
      <c r="HF31" s="149">
        <f t="shared" si="446"/>
        <v>0</v>
      </c>
      <c r="HG31" s="69">
        <f t="shared" si="447"/>
        <v>0</v>
      </c>
      <c r="HH31" s="15">
        <v>0</v>
      </c>
      <c r="HI31" s="6">
        <f t="shared" si="448"/>
        <v>720</v>
      </c>
      <c r="HJ31" s="8">
        <v>0</v>
      </c>
      <c r="HK31" s="8">
        <v>50</v>
      </c>
      <c r="HN31" s="37" t="s">
        <v>54</v>
      </c>
      <c r="HO31" s="8">
        <v>0</v>
      </c>
      <c r="HP31" s="8">
        <v>0</v>
      </c>
      <c r="HQ31" s="8">
        <v>0</v>
      </c>
      <c r="HR31" s="8">
        <v>0</v>
      </c>
      <c r="HS31" s="6">
        <f t="shared" si="449"/>
        <v>0</v>
      </c>
      <c r="HT31" s="8">
        <v>744</v>
      </c>
      <c r="HU31" s="6">
        <f t="shared" si="450"/>
        <v>1</v>
      </c>
      <c r="HV31" s="8">
        <v>0</v>
      </c>
      <c r="HW31" s="6">
        <f t="shared" si="451"/>
        <v>0</v>
      </c>
      <c r="HX31" s="8">
        <v>0</v>
      </c>
      <c r="HY31" s="69">
        <f t="shared" si="452"/>
        <v>0</v>
      </c>
      <c r="HZ31" s="69">
        <f t="shared" si="453"/>
        <v>0</v>
      </c>
      <c r="IA31" s="149">
        <f t="shared" si="454"/>
        <v>0</v>
      </c>
      <c r="IB31" s="149">
        <f t="shared" si="455"/>
        <v>0</v>
      </c>
      <c r="IC31" s="69">
        <f t="shared" si="456"/>
        <v>0</v>
      </c>
      <c r="ID31" s="15">
        <v>0</v>
      </c>
      <c r="IE31" s="6">
        <f t="shared" si="457"/>
        <v>744</v>
      </c>
      <c r="IF31" s="8">
        <v>0</v>
      </c>
      <c r="IG31" s="8">
        <v>50</v>
      </c>
      <c r="IJ31" s="37" t="s">
        <v>54</v>
      </c>
      <c r="IK31" s="52">
        <v>0</v>
      </c>
      <c r="IL31" s="52">
        <v>0</v>
      </c>
      <c r="IM31" s="52">
        <v>0</v>
      </c>
      <c r="IN31" s="52">
        <v>0</v>
      </c>
      <c r="IO31" s="69">
        <f t="shared" si="458"/>
        <v>0</v>
      </c>
      <c r="IP31" s="52">
        <v>720</v>
      </c>
      <c r="IQ31" s="69">
        <f t="shared" si="459"/>
        <v>1</v>
      </c>
      <c r="IR31" s="52">
        <v>0</v>
      </c>
      <c r="IS31" s="69">
        <f t="shared" si="460"/>
        <v>0</v>
      </c>
      <c r="IT31" s="8">
        <v>0</v>
      </c>
      <c r="IU31" s="69">
        <f t="shared" si="461"/>
        <v>0</v>
      </c>
      <c r="IV31" s="69">
        <f t="shared" si="462"/>
        <v>0</v>
      </c>
      <c r="IW31" s="149">
        <f t="shared" si="463"/>
        <v>0</v>
      </c>
      <c r="IX31" s="149">
        <f t="shared" si="464"/>
        <v>0</v>
      </c>
      <c r="IY31" s="69">
        <f t="shared" si="465"/>
        <v>0</v>
      </c>
      <c r="IZ31" s="15">
        <v>0</v>
      </c>
      <c r="JA31" s="15">
        <f t="shared" si="466"/>
        <v>720</v>
      </c>
      <c r="JB31" s="54">
        <v>0</v>
      </c>
      <c r="JC31" s="8">
        <v>50</v>
      </c>
    </row>
    <row r="32" spans="1:264" ht="14.25" x14ac:dyDescent="0.25">
      <c r="B32" s="37" t="s">
        <v>55</v>
      </c>
      <c r="C32" s="8">
        <v>735.5</v>
      </c>
      <c r="D32" s="8">
        <v>215.9</v>
      </c>
      <c r="E32" s="8">
        <v>519.6</v>
      </c>
      <c r="F32" s="8">
        <v>0</v>
      </c>
      <c r="G32" s="6">
        <f t="shared" si="359"/>
        <v>0</v>
      </c>
      <c r="H32" s="8">
        <v>0</v>
      </c>
      <c r="I32" s="6">
        <f t="shared" si="360"/>
        <v>0</v>
      </c>
      <c r="J32" s="6">
        <v>8.5</v>
      </c>
      <c r="K32" s="6">
        <f t="shared" si="361"/>
        <v>1.1424731182795699E-2</v>
      </c>
      <c r="L32" s="8">
        <v>0</v>
      </c>
      <c r="M32" s="69">
        <f t="shared" si="362"/>
        <v>0.98857526881720426</v>
      </c>
      <c r="N32" s="69">
        <f t="shared" si="363"/>
        <v>0.98857526881720426</v>
      </c>
      <c r="O32" s="69">
        <f t="shared" si="364"/>
        <v>0</v>
      </c>
      <c r="P32" s="149">
        <f t="shared" si="365"/>
        <v>0</v>
      </c>
      <c r="Q32" s="69">
        <f t="shared" si="366"/>
        <v>0.18965053763440859</v>
      </c>
      <c r="R32" s="15">
        <v>0</v>
      </c>
      <c r="S32" s="6">
        <f t="shared" si="367"/>
        <v>744</v>
      </c>
      <c r="T32" s="86">
        <v>7055</v>
      </c>
      <c r="U32" s="8">
        <v>50</v>
      </c>
      <c r="X32" s="37" t="s">
        <v>55</v>
      </c>
      <c r="Y32" s="6">
        <f>$X$4-AB32-AD32-AF32</f>
        <v>593</v>
      </c>
      <c r="Z32" s="8">
        <v>363.9</v>
      </c>
      <c r="AA32" s="8">
        <v>229.1</v>
      </c>
      <c r="AB32" s="8">
        <v>32.1</v>
      </c>
      <c r="AC32" s="6">
        <f t="shared" si="369"/>
        <v>4.314516129032258E-2</v>
      </c>
      <c r="AD32" s="8">
        <v>105.6</v>
      </c>
      <c r="AE32" s="6">
        <f t="shared" si="370"/>
        <v>0.14193548387096774</v>
      </c>
      <c r="AF32" s="6">
        <v>13.3</v>
      </c>
      <c r="AG32" s="6">
        <f t="shared" si="371"/>
        <v>1.7876344086021505E-2</v>
      </c>
      <c r="AH32" s="8">
        <v>0</v>
      </c>
      <c r="AI32" s="69">
        <f t="shared" si="372"/>
        <v>0.79704301075268813</v>
      </c>
      <c r="AJ32" s="69">
        <f t="shared" si="373"/>
        <v>0.79704301075268813</v>
      </c>
      <c r="AK32" s="69">
        <f t="shared" si="374"/>
        <v>8.1060606060606069E-2</v>
      </c>
      <c r="AL32" s="149">
        <f t="shared" si="375"/>
        <v>0</v>
      </c>
      <c r="AM32" s="69">
        <f t="shared" si="376"/>
        <v>0.33306451612903226</v>
      </c>
      <c r="AN32" s="15">
        <v>0</v>
      </c>
      <c r="AO32" s="6">
        <f t="shared" si="377"/>
        <v>744</v>
      </c>
      <c r="AP32" s="86">
        <v>12390</v>
      </c>
      <c r="AQ32" s="8">
        <v>50</v>
      </c>
      <c r="AT32" s="37" t="s">
        <v>55</v>
      </c>
      <c r="AU32" s="8">
        <v>709.1</v>
      </c>
      <c r="AV32" s="8">
        <v>355.9</v>
      </c>
      <c r="AW32" s="8">
        <v>353.2</v>
      </c>
      <c r="AX32" s="8">
        <v>0</v>
      </c>
      <c r="AY32" s="6">
        <f t="shared" si="378"/>
        <v>0</v>
      </c>
      <c r="AZ32" s="8">
        <v>0</v>
      </c>
      <c r="BA32" s="8">
        <f t="shared" si="379"/>
        <v>0</v>
      </c>
      <c r="BB32" s="8">
        <v>10.9</v>
      </c>
      <c r="BC32" s="6">
        <f t="shared" si="380"/>
        <v>1.5138888888888889E-2</v>
      </c>
      <c r="BD32" s="8">
        <v>0</v>
      </c>
      <c r="BE32" s="69">
        <f t="shared" si="381"/>
        <v>0.98486111111111119</v>
      </c>
      <c r="BF32" s="69">
        <f t="shared" si="382"/>
        <v>0.98486111111111119</v>
      </c>
      <c r="BG32" s="69">
        <f t="shared" si="383"/>
        <v>0</v>
      </c>
      <c r="BH32" s="149">
        <f t="shared" si="384"/>
        <v>0</v>
      </c>
      <c r="BI32" s="69">
        <f t="shared" si="385"/>
        <v>0.34719444444444447</v>
      </c>
      <c r="BJ32" s="6"/>
      <c r="BK32" s="6">
        <f t="shared" si="386"/>
        <v>719.99999999999989</v>
      </c>
      <c r="BL32" s="86">
        <v>12499</v>
      </c>
      <c r="BM32" s="8">
        <v>50</v>
      </c>
      <c r="BP32" s="37" t="s">
        <v>55</v>
      </c>
      <c r="BQ32" s="8">
        <v>729.3</v>
      </c>
      <c r="BR32" s="8">
        <v>423.7</v>
      </c>
      <c r="BS32" s="8">
        <v>305.60000000000002</v>
      </c>
      <c r="BT32" s="8">
        <v>14.7</v>
      </c>
      <c r="BU32" s="69">
        <f t="shared" si="387"/>
        <v>1.9758064516129031E-2</v>
      </c>
      <c r="BV32" s="8">
        <v>0</v>
      </c>
      <c r="BW32" s="69">
        <f t="shared" si="387"/>
        <v>0</v>
      </c>
      <c r="BX32" s="8">
        <v>0</v>
      </c>
      <c r="BY32" s="69">
        <f t="shared" ref="BY32" si="479">(BX32/$BP$4)</f>
        <v>0</v>
      </c>
      <c r="BZ32" s="8">
        <v>0</v>
      </c>
      <c r="CA32" s="69">
        <f t="shared" si="473"/>
        <v>0.98024193548387095</v>
      </c>
      <c r="CB32" s="69">
        <f t="shared" si="474"/>
        <v>0.98024193548387095</v>
      </c>
      <c r="CC32" s="149">
        <f t="shared" si="475"/>
        <v>3.3531021897810216E-2</v>
      </c>
      <c r="CD32" s="149">
        <f t="shared" si="476"/>
        <v>0</v>
      </c>
      <c r="CE32" s="69">
        <f t="shared" si="477"/>
        <v>0.37583333333333335</v>
      </c>
      <c r="CF32" s="69"/>
      <c r="CG32" s="42">
        <f t="shared" si="394"/>
        <v>744</v>
      </c>
      <c r="CH32" s="86">
        <v>13981</v>
      </c>
      <c r="CI32" s="8">
        <v>50</v>
      </c>
      <c r="CL32" s="37" t="s">
        <v>55</v>
      </c>
      <c r="CM32" s="8">
        <v>687</v>
      </c>
      <c r="CN32" s="8">
        <v>146.1</v>
      </c>
      <c r="CO32" s="8">
        <v>540.9</v>
      </c>
      <c r="CP32" s="8">
        <v>0</v>
      </c>
      <c r="CQ32" s="6">
        <f t="shared" si="395"/>
        <v>0</v>
      </c>
      <c r="CR32" s="8">
        <v>0</v>
      </c>
      <c r="CS32" s="6">
        <f t="shared" si="396"/>
        <v>0</v>
      </c>
      <c r="CT32" s="6">
        <v>33</v>
      </c>
      <c r="CU32" s="6">
        <f t="shared" si="397"/>
        <v>4.583333333333333E-2</v>
      </c>
      <c r="CV32" s="8">
        <v>0</v>
      </c>
      <c r="CW32" s="69">
        <f t="shared" si="398"/>
        <v>0.95416666666666672</v>
      </c>
      <c r="CX32" s="69">
        <f t="shared" si="399"/>
        <v>0.95416666666666672</v>
      </c>
      <c r="CY32" s="149">
        <f t="shared" si="400"/>
        <v>0</v>
      </c>
      <c r="CZ32" s="149">
        <f t="shared" si="401"/>
        <v>0</v>
      </c>
      <c r="DA32" s="69">
        <f t="shared" si="402"/>
        <v>0.12436111111111112</v>
      </c>
      <c r="DB32" s="6"/>
      <c r="DC32" s="6">
        <f t="shared" si="403"/>
        <v>720</v>
      </c>
      <c r="DD32" s="42">
        <v>4477</v>
      </c>
      <c r="DE32" s="8">
        <v>50</v>
      </c>
      <c r="DH32" s="37" t="s">
        <v>55</v>
      </c>
      <c r="DI32" s="8">
        <v>727.6</v>
      </c>
      <c r="DJ32" s="8">
        <v>227.4</v>
      </c>
      <c r="DK32" s="8">
        <v>500.2</v>
      </c>
      <c r="DL32" s="8">
        <v>16.399999999999999</v>
      </c>
      <c r="DM32" s="69">
        <f t="shared" si="404"/>
        <v>2.2043010752688171E-2</v>
      </c>
      <c r="DN32" s="8">
        <v>0</v>
      </c>
      <c r="DO32" s="69">
        <f t="shared" si="405"/>
        <v>0</v>
      </c>
      <c r="DP32" s="6">
        <v>0</v>
      </c>
      <c r="DQ32" s="69">
        <f t="shared" si="406"/>
        <v>0</v>
      </c>
      <c r="DR32" s="8">
        <v>0</v>
      </c>
      <c r="DS32" s="69">
        <f t="shared" si="407"/>
        <v>0.97795698924731189</v>
      </c>
      <c r="DT32" s="69">
        <f t="shared" si="408"/>
        <v>0.97795698924731189</v>
      </c>
      <c r="DU32" s="149">
        <f t="shared" si="409"/>
        <v>6.7268252666119757E-2</v>
      </c>
      <c r="DV32" s="149">
        <f t="shared" si="410"/>
        <v>0</v>
      </c>
      <c r="DW32" s="69">
        <f t="shared" si="411"/>
        <v>0.17489247311827957</v>
      </c>
      <c r="DX32" s="69"/>
      <c r="DY32" s="15">
        <f t="shared" si="412"/>
        <v>744</v>
      </c>
      <c r="DZ32" s="86">
        <v>6506</v>
      </c>
      <c r="EA32" s="8">
        <v>50</v>
      </c>
      <c r="ED32" s="37" t="s">
        <v>55</v>
      </c>
      <c r="EE32" s="8">
        <v>12.200000000000045</v>
      </c>
      <c r="EF32" s="8">
        <v>12.200000000000045</v>
      </c>
      <c r="EG32" s="8">
        <v>0</v>
      </c>
      <c r="EH32" s="8">
        <v>731.8</v>
      </c>
      <c r="EI32" s="6">
        <f t="shared" si="413"/>
        <v>0.98360215053763433</v>
      </c>
      <c r="EJ32" s="8">
        <v>0</v>
      </c>
      <c r="EK32" s="6">
        <f t="shared" si="414"/>
        <v>0</v>
      </c>
      <c r="EL32" s="6">
        <v>0</v>
      </c>
      <c r="EM32" s="6">
        <f t="shared" si="415"/>
        <v>0</v>
      </c>
      <c r="EN32" s="8">
        <v>0</v>
      </c>
      <c r="EO32" s="69">
        <f t="shared" si="416"/>
        <v>1.6397849462365652E-2</v>
      </c>
      <c r="EP32" s="69">
        <f t="shared" si="417"/>
        <v>1.6397849462365652E-2</v>
      </c>
      <c r="EQ32" s="149">
        <f t="shared" si="418"/>
        <v>0.98360215053763433</v>
      </c>
      <c r="ER32" s="149">
        <f t="shared" si="419"/>
        <v>0</v>
      </c>
      <c r="ES32" s="69">
        <f t="shared" si="420"/>
        <v>1.8118279569892475E-2</v>
      </c>
      <c r="ET32" s="6"/>
      <c r="EU32" s="6">
        <f t="shared" si="421"/>
        <v>744</v>
      </c>
      <c r="EV32" s="8">
        <v>674</v>
      </c>
      <c r="EW32" s="8">
        <v>50</v>
      </c>
      <c r="EZ32" s="37" t="s">
        <v>55</v>
      </c>
      <c r="FA32" s="17">
        <v>0</v>
      </c>
      <c r="FB32" s="20">
        <v>0</v>
      </c>
      <c r="FC32" s="20">
        <v>0</v>
      </c>
      <c r="FD32" s="8">
        <v>672</v>
      </c>
      <c r="FE32" s="6">
        <f t="shared" si="422"/>
        <v>1</v>
      </c>
      <c r="FF32" s="20">
        <v>0</v>
      </c>
      <c r="FG32" s="6">
        <f t="shared" si="423"/>
        <v>0</v>
      </c>
      <c r="FH32" s="6">
        <v>0</v>
      </c>
      <c r="FI32" s="6">
        <f t="shared" si="424"/>
        <v>0</v>
      </c>
      <c r="FJ32" s="8">
        <v>0</v>
      </c>
      <c r="FK32" s="69">
        <f t="shared" si="425"/>
        <v>0</v>
      </c>
      <c r="FL32" s="69">
        <f t="shared" si="426"/>
        <v>0</v>
      </c>
      <c r="FM32" s="149">
        <f t="shared" si="427"/>
        <v>1</v>
      </c>
      <c r="FN32" s="149">
        <f t="shared" si="428"/>
        <v>0</v>
      </c>
      <c r="FO32" s="69">
        <f t="shared" si="429"/>
        <v>0.27669642857142857</v>
      </c>
      <c r="FP32" s="6"/>
      <c r="FQ32" s="6">
        <f t="shared" si="430"/>
        <v>672</v>
      </c>
      <c r="FR32" s="42">
        <v>9297</v>
      </c>
      <c r="FS32" s="8">
        <v>50</v>
      </c>
      <c r="FV32" s="37" t="s">
        <v>55</v>
      </c>
      <c r="FW32" s="8">
        <v>0</v>
      </c>
      <c r="FX32" s="8">
        <v>0</v>
      </c>
      <c r="FY32" s="8">
        <v>0</v>
      </c>
      <c r="FZ32" s="8">
        <v>744</v>
      </c>
      <c r="GA32" s="69">
        <f t="shared" si="431"/>
        <v>1</v>
      </c>
      <c r="GB32" s="8">
        <v>0</v>
      </c>
      <c r="GC32" s="69">
        <f t="shared" si="432"/>
        <v>0</v>
      </c>
      <c r="GD32" s="6">
        <v>0</v>
      </c>
      <c r="GE32" s="6">
        <f t="shared" si="433"/>
        <v>0</v>
      </c>
      <c r="GF32" s="8">
        <v>0</v>
      </c>
      <c r="GG32" s="69">
        <f t="shared" si="434"/>
        <v>0</v>
      </c>
      <c r="GH32" s="69">
        <f t="shared" si="435"/>
        <v>0</v>
      </c>
      <c r="GI32" s="149">
        <f t="shared" si="436"/>
        <v>1</v>
      </c>
      <c r="GJ32" s="149">
        <f t="shared" si="437"/>
        <v>0</v>
      </c>
      <c r="GK32" s="69">
        <f t="shared" si="438"/>
        <v>0</v>
      </c>
      <c r="GL32" s="69"/>
      <c r="GM32" s="6">
        <f t="shared" si="439"/>
        <v>744</v>
      </c>
      <c r="GN32" s="42">
        <v>0</v>
      </c>
      <c r="GO32" s="8">
        <v>50</v>
      </c>
      <c r="GR32" s="37" t="s">
        <v>55</v>
      </c>
      <c r="GS32" s="8">
        <v>0</v>
      </c>
      <c r="GT32" s="8">
        <v>0</v>
      </c>
      <c r="GU32" s="8">
        <v>0</v>
      </c>
      <c r="GV32" s="8">
        <v>720</v>
      </c>
      <c r="GW32" s="6">
        <f t="shared" si="440"/>
        <v>1</v>
      </c>
      <c r="GX32" s="8">
        <v>0</v>
      </c>
      <c r="GY32" s="6">
        <f t="shared" si="441"/>
        <v>0</v>
      </c>
      <c r="GZ32" s="6">
        <v>0</v>
      </c>
      <c r="HA32" s="6">
        <f t="shared" si="442"/>
        <v>0</v>
      </c>
      <c r="HB32" s="8">
        <v>0</v>
      </c>
      <c r="HC32" s="69">
        <f t="shared" si="443"/>
        <v>0</v>
      </c>
      <c r="HD32" s="69">
        <f t="shared" si="444"/>
        <v>0</v>
      </c>
      <c r="HE32" s="149">
        <f t="shared" si="445"/>
        <v>1</v>
      </c>
      <c r="HF32" s="149">
        <f t="shared" si="446"/>
        <v>0</v>
      </c>
      <c r="HG32" s="69">
        <f t="shared" si="447"/>
        <v>0</v>
      </c>
      <c r="HH32" s="15">
        <v>0</v>
      </c>
      <c r="HI32" s="6">
        <f t="shared" si="448"/>
        <v>720</v>
      </c>
      <c r="HJ32" s="8">
        <v>0</v>
      </c>
      <c r="HK32" s="8">
        <v>50</v>
      </c>
      <c r="HN32" s="37" t="s">
        <v>55</v>
      </c>
      <c r="HO32" s="8">
        <v>516.79999999999995</v>
      </c>
      <c r="HP32" s="8">
        <v>144.80000000000001</v>
      </c>
      <c r="HQ32" s="8">
        <v>372</v>
      </c>
      <c r="HR32" s="8">
        <v>210.1</v>
      </c>
      <c r="HS32" s="6">
        <f t="shared" si="449"/>
        <v>0.28239247311827959</v>
      </c>
      <c r="HT32" s="8">
        <v>0</v>
      </c>
      <c r="HU32" s="6">
        <f t="shared" si="450"/>
        <v>0</v>
      </c>
      <c r="HV32" s="8">
        <v>17.100000000000001</v>
      </c>
      <c r="HW32" s="6">
        <f t="shared" si="451"/>
        <v>2.2983870967741939E-2</v>
      </c>
      <c r="HX32" s="8">
        <v>0</v>
      </c>
      <c r="HY32" s="69">
        <f t="shared" si="452"/>
        <v>0.69462365591397845</v>
      </c>
      <c r="HZ32" s="69">
        <f t="shared" si="453"/>
        <v>0.69462365591397845</v>
      </c>
      <c r="IA32" s="149">
        <f t="shared" si="454"/>
        <v>0.59199774584389975</v>
      </c>
      <c r="IB32" s="149">
        <f t="shared" si="455"/>
        <v>0</v>
      </c>
      <c r="IC32" s="69">
        <f t="shared" si="456"/>
        <v>0.11663978494623656</v>
      </c>
      <c r="ID32" s="15">
        <v>0</v>
      </c>
      <c r="IE32" s="6">
        <f t="shared" si="457"/>
        <v>744</v>
      </c>
      <c r="IF32" s="86">
        <v>4339</v>
      </c>
      <c r="IG32" s="8">
        <v>50</v>
      </c>
      <c r="IJ32" s="37" t="s">
        <v>55</v>
      </c>
      <c r="IK32" s="52">
        <v>720</v>
      </c>
      <c r="IL32" s="52">
        <v>343.2</v>
      </c>
      <c r="IM32" s="52">
        <v>376.8</v>
      </c>
      <c r="IN32" s="52">
        <v>0</v>
      </c>
      <c r="IO32" s="69">
        <f t="shared" si="458"/>
        <v>0</v>
      </c>
      <c r="IP32" s="52">
        <v>0</v>
      </c>
      <c r="IQ32" s="69">
        <f t="shared" si="459"/>
        <v>0</v>
      </c>
      <c r="IR32" s="52">
        <v>0</v>
      </c>
      <c r="IS32" s="69">
        <f t="shared" si="460"/>
        <v>0</v>
      </c>
      <c r="IT32" s="8">
        <v>0</v>
      </c>
      <c r="IU32" s="69">
        <f t="shared" si="461"/>
        <v>1</v>
      </c>
      <c r="IV32" s="69">
        <f t="shared" si="462"/>
        <v>1</v>
      </c>
      <c r="IW32" s="149">
        <f t="shared" si="463"/>
        <v>0</v>
      </c>
      <c r="IX32" s="149">
        <f t="shared" si="464"/>
        <v>0</v>
      </c>
      <c r="IY32" s="69">
        <f t="shared" si="465"/>
        <v>0.32900000000000001</v>
      </c>
      <c r="IZ32" s="15">
        <v>0</v>
      </c>
      <c r="JA32" s="15">
        <f t="shared" si="466"/>
        <v>720</v>
      </c>
      <c r="JB32" s="168">
        <v>11844</v>
      </c>
      <c r="JC32" s="8">
        <v>50</v>
      </c>
    </row>
    <row r="33" spans="1:263" ht="15" x14ac:dyDescent="0.25">
      <c r="B33" s="95" t="s">
        <v>39</v>
      </c>
      <c r="C33" s="98">
        <f>SUM(C23:C32)</f>
        <v>3210.6</v>
      </c>
      <c r="D33" s="98">
        <f t="shared" ref="D33:L33" si="480">SUM(D23:D32)</f>
        <v>1062.9000000000001</v>
      </c>
      <c r="E33" s="98">
        <f t="shared" si="480"/>
        <v>2147.6999999999998</v>
      </c>
      <c r="F33" s="98">
        <f t="shared" si="480"/>
        <v>1033.8</v>
      </c>
      <c r="G33" s="78">
        <f>(G23*U23+G24*U24+G25*U25+G26*U26+G27*U27+G28*U28+G29*U29+G30*U30+G31*U31+G32*U32)/U33</f>
        <v>0.1423396178436501</v>
      </c>
      <c r="H33" s="98">
        <f t="shared" si="480"/>
        <v>3161.6</v>
      </c>
      <c r="I33" s="78">
        <f>(I23*U23+I24*U24+I25*U25+I26*U26+I27*U27+I28*U28+I29*U29+I30*U30+I31*U31+I32*U32)/U33</f>
        <v>0.43660999709386811</v>
      </c>
      <c r="J33" s="26">
        <f>SUM(J23:J32)</f>
        <v>34</v>
      </c>
      <c r="K33" s="78">
        <f>(K23*U23+K24*U24+K25*U25+K26*U26+K27*U27+K28*U28+K29*U29+K30*U30+K31*U31+K32*U32)/U33</f>
        <v>3.8597064806742227E-3</v>
      </c>
      <c r="L33" s="25">
        <f t="shared" si="480"/>
        <v>0</v>
      </c>
      <c r="M33" s="78">
        <f>(M23*U23+M24*U24+M25*U25+M26*U26+M27*U27+M28*U28+M29*U29+M30*U30+M31*U31+M32*U32)/U33</f>
        <v>0.41719067858180758</v>
      </c>
      <c r="N33" s="81">
        <f>(N23*U23+N24*U24+N25*U25+N26*U26+N27*U27+N28*U28+N29*U29+N30*U30+N31*U31+N32*U32)/U33</f>
        <v>0.41719067858180758</v>
      </c>
      <c r="O33" s="81">
        <f>(O23*U23+O24*U24+O25*U25+O26*U26+O27*U27+O28*U28+O29*U29+O30*U30+O31*U31+O32*U32)/U33</f>
        <v>0.21007302143193568</v>
      </c>
      <c r="P33" s="81">
        <f>(P23*U23+P24*U24+P25*U25+P26*U26+P27*U27+P28*U28+P29*U29+P30*U30+P31*U31+P32*U32)/U33</f>
        <v>0</v>
      </c>
      <c r="Q33" s="81">
        <f>(Q23*U23+Q24*U24+Q25*U25+Q26*U26+Q27*U27+Q28*U28+Q29*U29+Q30*U30+Q31*U31+Q32*U32)/U33</f>
        <v>7.7026118860796286E-2</v>
      </c>
      <c r="R33" s="25">
        <f t="shared" ref="R33" si="481">SUM(R23:R32)</f>
        <v>6</v>
      </c>
      <c r="S33" s="30">
        <f>SUM(S23:S32)</f>
        <v>7440</v>
      </c>
      <c r="T33" s="102">
        <f>SUM(T23:T32)</f>
        <v>33926</v>
      </c>
      <c r="U33" s="25">
        <f>SUM(U23:U32)</f>
        <v>592</v>
      </c>
      <c r="X33" s="87" t="s">
        <v>39</v>
      </c>
      <c r="Y33" s="25">
        <f>SUM(Y23:Y32)</f>
        <v>3393.9</v>
      </c>
      <c r="Z33" s="25">
        <f t="shared" ref="Z33:AH33" si="482">SUM(Z23:Z32)</f>
        <v>2270.9</v>
      </c>
      <c r="AA33" s="25">
        <f>SUM(AA23:AA32)</f>
        <v>1123</v>
      </c>
      <c r="AB33" s="25">
        <f t="shared" si="482"/>
        <v>925.2</v>
      </c>
      <c r="AC33" s="78">
        <f>(AC23*AQ23+AC24*AQ24+AC25*AQ25+AC26*AQ26+AC27*AQ27+AC28*AQ28+AC29*AQ29+AC30*AQ30+AC31*AQ31+AC32*AQ32)/AQ33</f>
        <v>0.11622529787852369</v>
      </c>
      <c r="AD33" s="25">
        <f t="shared" si="482"/>
        <v>3099.5</v>
      </c>
      <c r="AE33" s="78">
        <f>(AE23*AQ23+AE24*AQ24+AE25*AQ25+AE26*AQ26+AE27*AQ27+AE28*AQ28+AE29*AQ29+AE30*AQ30+AE31*AQ31+AE32*AQ32)/AQ33</f>
        <v>0.42956035672769544</v>
      </c>
      <c r="AF33" s="26">
        <f>SUM(AF23:AF32)</f>
        <v>21.4</v>
      </c>
      <c r="AG33" s="79">
        <f>(AG23*AQ23+AG24*AQ24+AG25*AQ25+AG26*AQ26+AG27*AQ27+AG28*AQ28+AG29*AQ29+AG30*AQ30+AG31*AQ31+AG32*AQ32)/AQ33</f>
        <v>2.4293446672478927E-3</v>
      </c>
      <c r="AH33" s="25">
        <f t="shared" si="482"/>
        <v>0</v>
      </c>
      <c r="AI33" s="78">
        <f>(AI23*AQ23+AI24*AQ24+AI25*AQ25+AI26*AQ26+AI27*AQ27+AI28*AQ28+AI29*AQ29+AI30*AQ30+AI31*AQ31+AI32*AQ32)/AQ33</f>
        <v>0.45178500072653294</v>
      </c>
      <c r="AJ33" s="81">
        <f>(AJ23*AQ23+AJ24*AQ24+AJ25*AQ25+AJ26*AQ26+AJ27*AQ27+AJ28*AQ28+AJ29*AQ29+AJ30*AQ30+AJ31*AQ31+AJ32*AQ32)/AQ33</f>
        <v>0.45178500072653294</v>
      </c>
      <c r="AK33" s="81">
        <f>(AK23*AQ23+AK24*AQ24+AK25*AQ25+AK26*AQ26+AK27*AQ27+AK28*AQ28+AK29*AQ29+AK30*AQ30+AK31*AQ31+AK32*AQ32)/AQ33</f>
        <v>0.12874261959777486</v>
      </c>
      <c r="AL33" s="81"/>
      <c r="AM33" s="81">
        <f>(AM23*AQ23+AM24*AQ24+AM25*AQ25+AM26*AQ26+AM27*AQ27+AM28*AQ28+AM29*AQ29+AM30*AQ30+AM31*AQ31+AM32*AQ32)/AQ33</f>
        <v>0.1907444238593432</v>
      </c>
      <c r="AN33" s="25">
        <f t="shared" ref="AN33" si="483">SUM(AN23:AN32)</f>
        <v>9</v>
      </c>
      <c r="AO33" s="30">
        <f>SUM(AO23:AO32)</f>
        <v>7440</v>
      </c>
      <c r="AP33" s="89">
        <f>SUM(AP23:AP32)</f>
        <v>84013</v>
      </c>
      <c r="AQ33" s="29">
        <f>SUM(AQ23:AQ32)</f>
        <v>592</v>
      </c>
      <c r="AT33" s="87" t="s">
        <v>39</v>
      </c>
      <c r="AU33" s="98">
        <f>SUM(AU23:AU32)</f>
        <v>3283.9</v>
      </c>
      <c r="AV33" s="98">
        <f t="shared" ref="AV33:BD33" si="484">SUM(AV23:AV32)</f>
        <v>2266.9</v>
      </c>
      <c r="AW33" s="98">
        <f>SUM(AW23:AW32)</f>
        <v>1017</v>
      </c>
      <c r="AX33" s="98">
        <f t="shared" si="484"/>
        <v>1025.2</v>
      </c>
      <c r="AY33" s="78">
        <f>(AY23*BM23+AY24*BM24+AY25*BM25+AY26*BM26+AY27*BM27+AY28*BM28+AY29*BM29+AY30*BM30+AY31*BM31+AY32*BM32)/BM33</f>
        <v>0.15416948198198197</v>
      </c>
      <c r="AZ33" s="25">
        <f t="shared" si="484"/>
        <v>2880</v>
      </c>
      <c r="BA33" s="78">
        <f>(BA23*BM23+BA24*BM24+BA25*BM25+BA26*BM26+BA27*BM27+BA28*BM28+BA29*BM29+BA30*BM30+BA31*BM31+BA32*BM32)/BM33</f>
        <v>0.41554054054054052</v>
      </c>
      <c r="BB33" s="26">
        <f>SUM(BB23:BB32)</f>
        <v>10.9</v>
      </c>
      <c r="BC33" s="79">
        <f>(BC23*BM23+BC24*BM24+BC25*BM25+BC26*BM26+BC27*BM27+BC28*BM28+BC29*BM29+BC30*BM30+BC31*BM31+BC32*BM32)/BM33</f>
        <v>1.2786223723723724E-3</v>
      </c>
      <c r="BD33" s="25">
        <f t="shared" si="484"/>
        <v>0</v>
      </c>
      <c r="BE33" s="78">
        <f>(BE23*BM23+BE24*BM24+BE25*BM25+BE26*BM26+BE27*BM27+BE28*BM28+BE29*BM29+BE30*BM30+BE31*BM31+BE32*BM32)/BM33</f>
        <v>0.42901135510510513</v>
      </c>
      <c r="BF33" s="81">
        <f>(BF23*BM23+BF24*BM24+BF25*BM25+BF26*BM26+BF27*BM27+BF28*BM28+BF29*BM29+BF30*BM30+BF31*BM31+BF32*BM32)/BM33</f>
        <v>0.42901135510510513</v>
      </c>
      <c r="BG33" s="81">
        <f>(BG23*BM23+BG24*BM24+BG25*BM25+BG26*BM26+BG27*BM27+BG28*BM28+BG29*BM29+BG30*BM30+BG31*BM31+BG32*BM32)/BM33</f>
        <v>0.15942781551694934</v>
      </c>
      <c r="BH33" s="81"/>
      <c r="BI33" s="81">
        <f>(BI23*BM23+BI24*BM24+BI25*BM25+BI26*BM26+BI27*BM27+BI28*BM28+BI29*BM29+BI30*BM30+BI31*BM31+BI32*BM32)/BM33</f>
        <v>0.20137715840840839</v>
      </c>
      <c r="BJ33" s="149"/>
      <c r="BK33" s="30">
        <f>SUM(BK23:BK32)</f>
        <v>7200</v>
      </c>
      <c r="BL33" s="89">
        <f>SUM(BL23:BL32)</f>
        <v>85835</v>
      </c>
      <c r="BM33" s="29">
        <f>SUM(BM23:BM32)</f>
        <v>592</v>
      </c>
      <c r="BP33" s="87" t="s">
        <v>39</v>
      </c>
      <c r="BQ33" s="25">
        <f>SUM(BQ23:BQ32)</f>
        <v>4347.2999999999993</v>
      </c>
      <c r="BR33" s="25">
        <f t="shared" ref="BR33:BZ33" si="485">SUM(BR23:BR32)</f>
        <v>3013.2</v>
      </c>
      <c r="BS33" s="25">
        <f>SUM(BS23:BS32)</f>
        <v>1334.1</v>
      </c>
      <c r="BT33" s="25">
        <f t="shared" si="485"/>
        <v>92.3</v>
      </c>
      <c r="BU33" s="78">
        <f>(BU23*CI23+BU24*CI24+BU25*CI25+BU26*CI26+BU27*CI27+BU28*CI28+BU29*CI29+BU30*CI30+BU31*CI31+BU32*CI32)/CI33</f>
        <v>1.184612031386225E-2</v>
      </c>
      <c r="BV33" s="25">
        <f t="shared" si="485"/>
        <v>2972</v>
      </c>
      <c r="BW33" s="78">
        <f>(BW23*CI23+BW24*CI24+BW25*CI25+BW26*CI26+BW27*CI27+BW28*CI28+BW29*CI29+BW30*CI30+BW31*CI31+BW32*CI32)/CI33</f>
        <v>0.41508645742516714</v>
      </c>
      <c r="BX33" s="26">
        <f>SUM(BX23:BX32)</f>
        <v>28.400000000000002</v>
      </c>
      <c r="BY33" s="78">
        <f>(BY23*CI23+BY24*CI24+BY25*CI25+BY26*CI26+BY27*CI27+BY28*CI28+BY29*CI29+BY30*CI30+BY31*CI31+BY32*CI32)/CI33</f>
        <v>4.2474934612031388E-3</v>
      </c>
      <c r="BZ33" s="25">
        <f t="shared" si="485"/>
        <v>0</v>
      </c>
      <c r="CA33" s="78">
        <f>(CA23*CI23+CA24*CI24+CA25*CI25+CA26*CI26+CA27*CI27+CA28*CI28+CA29*CI29+CA30*CI30+CA31*CI31+CA32*CI32)/CI33</f>
        <v>0.5688199287997675</v>
      </c>
      <c r="CB33" s="81">
        <f>(CB23*CI23+CB24*CI24+CB25*CI25+CB26*CI26+CB27*CI27+CB28*CI28+CB29*CI29+CB30*CI30+CB31*CI31+CB32*CI32)/CI33</f>
        <v>0.5688199287997675</v>
      </c>
      <c r="CC33" s="81">
        <f>(CC23*CI23+CC24*CI24+CC25*CI25+CC26*CI26+CC27*CI27+CC28*CI28+CC29*CI29+CC30*CI30+CC31*CI31+CC32*CI32)/CI33</f>
        <v>1.903521466820398E-2</v>
      </c>
      <c r="CD33" s="81"/>
      <c r="CE33" s="81">
        <f>(CE23*CI23+CE24*CI24+CE25*CI25+CE26*CI26+CE27*CI27+CE28*CI28+CE29*CI29+CE30*CI30+CE31*CI31+CE32*CI32)/CI33</f>
        <v>0.24958678436501017</v>
      </c>
      <c r="CF33" s="149"/>
      <c r="CG33" s="33">
        <f>SUM(CG23:CG32)</f>
        <v>7440</v>
      </c>
      <c r="CH33" s="89">
        <f>SUM(CH23:CH32)</f>
        <v>109930</v>
      </c>
      <c r="CI33" s="29">
        <f>SUM(CI23:CI32)</f>
        <v>592</v>
      </c>
      <c r="CL33" s="87" t="s">
        <v>39</v>
      </c>
      <c r="CM33" s="25">
        <f>SUM(CM23:CM32)</f>
        <v>3973.8999999999996</v>
      </c>
      <c r="CN33" s="25">
        <f t="shared" ref="CN33:CV33" si="486">SUM(CN23:CN32)</f>
        <v>1282.5999999999999</v>
      </c>
      <c r="CO33" s="25">
        <f>SUM(CO23:CO32)</f>
        <v>2691.3</v>
      </c>
      <c r="CP33" s="25">
        <f t="shared" si="486"/>
        <v>176.6</v>
      </c>
      <c r="CQ33" s="78">
        <f>(CQ23*DE23+CQ24*DE24+CQ25*DE25+CQ26*DE26+CQ27*DE27+CQ28*DE28+CQ29*DE29+CQ30*DE30+CQ31*DE31+CQ32*DE32)/DE33</f>
        <v>2.0716028528528531E-2</v>
      </c>
      <c r="CR33" s="25">
        <f t="shared" si="486"/>
        <v>3001.6</v>
      </c>
      <c r="CS33" s="78">
        <f>(CS23*DE23+CS24*DE24+CS25*DE25+CS26*DE26+CS27*DE27+CS28*DE28+CS29*DE29+CS30*DE30+CS31*DE31+CS32*DE32)/DE33</f>
        <v>0.42980480480480482</v>
      </c>
      <c r="CT33" s="26">
        <f>SUM(CT23:CT32)</f>
        <v>47.9</v>
      </c>
      <c r="CU33" s="78">
        <f>(CU23*DE23+CU24*DE24+CU25*DE25+CU26*DE26+CU27*DE27+CU28*DE28+CU29*DE29+CU30*DE30+CU31*DE31+CU32*DE32)/DE33</f>
        <v>5.6189001501501497E-3</v>
      </c>
      <c r="CV33" s="25">
        <f t="shared" si="486"/>
        <v>0</v>
      </c>
      <c r="CW33" s="78">
        <f>(CW23*DE23+CW24*DE24+CW25*DE25+CW26*DE26+CW27*DE27+CW28*DE28+CW29*DE29+CW30*DE30+CW31*DE31+CW32*DE32)/DE33</f>
        <v>0.54386026651651653</v>
      </c>
      <c r="CX33" s="81">
        <f>(CX23*DE23+CX24*DE24+CX25*DE25+CX26*DE26+CX27*DE27+CX28*DE28+CX29*DE29+CX30*DE30+CX31*DE31+CX32*DE32)/DE33</f>
        <v>0.54386026651651653</v>
      </c>
      <c r="CY33" s="81">
        <f>(CY23*DE23+CY24*DE24+CY25*DE25+CY26*DE26+CY27*DE27+CY28*DE28+CY29*DE29+CY30*DE30+CY31*DE31+CY32*DE32)/DE33</f>
        <v>5.8266325552836166E-2</v>
      </c>
      <c r="CZ33" s="81"/>
      <c r="DA33" s="81">
        <f>(DA23*DE23+DA24*DE24+DA25*DE25+DA26*DE26+DA27*DE27+DA28*DE28+DA29*DE29+DA30*DE30+DA31*DE31+DA32*DE32)/DE33</f>
        <v>9.74802927927928E-2</v>
      </c>
      <c r="DB33" s="149"/>
      <c r="DC33" s="30">
        <f>SUM(DC23:DC32)</f>
        <v>7200</v>
      </c>
      <c r="DD33" s="33">
        <f>SUM(DD23:DD32)</f>
        <v>41550</v>
      </c>
      <c r="DE33" s="29">
        <f>SUM(DE23:DE32)</f>
        <v>592</v>
      </c>
      <c r="DH33" s="87" t="s">
        <v>39</v>
      </c>
      <c r="DI33" s="98">
        <f>SUM(DI23:DI32)</f>
        <v>3934.5</v>
      </c>
      <c r="DJ33" s="98">
        <f t="shared" ref="DJ33:DR33" si="487">SUM(DJ23:DJ32)</f>
        <v>1700.3</v>
      </c>
      <c r="DK33" s="98">
        <f>SUM(DK23:DK32)</f>
        <v>2234.1999999999998</v>
      </c>
      <c r="DL33" s="25">
        <f t="shared" si="487"/>
        <v>657</v>
      </c>
      <c r="DM33" s="78">
        <f>(DM23*EA23+DM24*EA24+DM25*EA25+DM26*EA26+DM27*EA27+DM28*EA28+DM29*EA29+DM30*EA30+DM31*EA31+DM32*EA32)/EA33</f>
        <v>0.12271914051147922</v>
      </c>
      <c r="DN33" s="98">
        <f t="shared" si="487"/>
        <v>2848.5</v>
      </c>
      <c r="DO33" s="78">
        <f>(DO23*EA23+DO24*EA24+DO25*EA25+DO26*EA26+DO27*EA27+DO28*EA28+DO29*EA29+DO30*EA30+DO31*EA31+DO32*EA32)/EA33</f>
        <v>0.40106664123801222</v>
      </c>
      <c r="DP33" s="26">
        <f>SUM(DP23:DP32)</f>
        <v>0</v>
      </c>
      <c r="DQ33" s="79">
        <f>(DQ23*EA23+DQ24*EA24+DQ25*EA25+DQ26*EA26+DQ27*EA27+DQ28*EA28+DQ29*EA29+DQ30*EA30+DQ31*EA31+DQ32*EA32)/EA33</f>
        <v>0</v>
      </c>
      <c r="DR33" s="25">
        <f t="shared" si="487"/>
        <v>0</v>
      </c>
      <c r="DS33" s="78">
        <f>(DS23*EA23+DS24*EA24+DS25*EA25+DS26*EA26+DS27*EA27+DS28*EA28+DS29*EA29+DS30*EA30+DS31*EA31+DS32*EA32)/EA33</f>
        <v>0.47621421825050853</v>
      </c>
      <c r="DT33" s="81">
        <f>(DT23*EA23+DT24*EA24+DT25*EA25+DT26*EA26+DT27*EA27+DT28*EA28+DT29*EA29+DT30*EA30+DT31*EA31+DT32*EA32)/EA33</f>
        <v>0.47621421825050853</v>
      </c>
      <c r="DU33" s="81">
        <f>(DU23*EA23+DU24*EA24+DU25*EA25+DU26*EA26+DU27*EA27+DU28*EA28+DU29*EA29+DU30*EA30+DU31*EA31+DU32*EA32)/EA33</f>
        <v>0.19230273112326515</v>
      </c>
      <c r="DV33" s="81">
        <f>(DV23*EA23+DV24*EA24+DV25*EA25+DV26*EA26+DV27*EA27+DV28*EA28+DV29*EA29+DV30*EA30+DV31*EA31+DV32*EA32)/EA33</f>
        <v>0</v>
      </c>
      <c r="DW33" s="81">
        <f>(DW23*EA23+DW24*EA24+DW25*EA25+DW26*EA26+DW27*EA27+DW28*EA28+DW29*EA29+DW30*EA30+DW31*EA31+DW32*EA32)/EA33</f>
        <v>0.14025265184539379</v>
      </c>
      <c r="DX33" s="149"/>
      <c r="DY33" s="31">
        <f>SUM(DY23:DY32)</f>
        <v>7440</v>
      </c>
      <c r="DZ33" s="89">
        <f>SUM(DZ23:DZ32)</f>
        <v>61774</v>
      </c>
      <c r="EA33" s="29">
        <f>SUM(EA23:EA32)</f>
        <v>592</v>
      </c>
      <c r="ED33" s="87" t="s">
        <v>39</v>
      </c>
      <c r="EE33" s="25">
        <f>SUM(EE23:EE32)</f>
        <v>1670.6000000000001</v>
      </c>
      <c r="EF33" s="25">
        <f t="shared" ref="EF33:EN33" si="488">SUM(EF23:EF32)</f>
        <v>822.40000000000009</v>
      </c>
      <c r="EG33" s="25">
        <f>SUM(EG23:EG32)</f>
        <v>848.2</v>
      </c>
      <c r="EH33" s="25">
        <f t="shared" si="488"/>
        <v>3537.4000000000005</v>
      </c>
      <c r="EI33" s="78">
        <f>(EI23*EW23+EI24*EW24+EI25*EW25+EI26*EW26+EI27*EW27+EI28*EW28+EI29*EW29+EI30*EW30+EI31*EW31+EI32*EW32)/EW33</f>
        <v>0.47927110578320259</v>
      </c>
      <c r="EJ33" s="25">
        <f t="shared" si="488"/>
        <v>2232</v>
      </c>
      <c r="EK33" s="78">
        <f>(EK23*EW23+EK24*EW24+EK25*EW25+EK26*EW26+EK27*EW27+EK28*EW28+EK29*EW29+EK30*EW30+EK31*EW31+EK32*EW32)/EW33</f>
        <v>0.33108108108108109</v>
      </c>
      <c r="EL33" s="26">
        <f>SUM(EL23:EL32)</f>
        <v>0</v>
      </c>
      <c r="EM33" s="79">
        <f>(EM23*EW23+EM24*EW24+EM25*EW25+EM26*EW26+EM27*EW27+EM28*EW28+EM29*EW29+EM30*EW30+EM31*EW31+EM32*EW32)/EW33</f>
        <v>0</v>
      </c>
      <c r="EN33" s="25">
        <f t="shared" si="488"/>
        <v>0</v>
      </c>
      <c r="EO33" s="78">
        <f>(EO23*EW23+EO24*EW24+EO25*EW25+EO26*EW26+EO27*EW27+EO28*EW28+EO29*EW29+EO30*EW30+EO31*EW31+EO32*EW32)/EW33</f>
        <v>0.18964781313571644</v>
      </c>
      <c r="EP33" s="81">
        <f>(EP23*EW23+EP24*EW24+EP25*EW25+EP26*EW26+EP27*EW27+EP28*EW28+EP29*EW29+EP30*EW30+EP31*EW31+EP32*EW32)/EW33</f>
        <v>0.18964781313571644</v>
      </c>
      <c r="EQ33" s="81">
        <f>(EQ23*EW23+EQ24*EW24+EQ25*EW25+EQ26*EW26+EQ27*EW27+EQ28*EW28+EQ29*EW29+EQ30*EW30+EQ31*EW31+EQ32*EW32)/EW33</f>
        <v>0.50758164191167332</v>
      </c>
      <c r="ER33" s="81"/>
      <c r="ES33" s="81">
        <f>(ES23*EW23+ES24*EW24+ES25*EW25+ES26*EW26+ES27*EW27+ES28*EW28+ES29*EW29+ES30*EW30+ES31*EW31+ES32*EW32)/EW33</f>
        <v>6.2881429816913692E-2</v>
      </c>
      <c r="ET33" s="149"/>
      <c r="EU33" s="30">
        <f>SUM(EU23:EU32)</f>
        <v>7440</v>
      </c>
      <c r="EV33" s="33">
        <f>SUM(EV23:EV32)</f>
        <v>27696</v>
      </c>
      <c r="EW33" s="29">
        <f>SUM(EW23:EW32)</f>
        <v>592</v>
      </c>
      <c r="EZ33" s="87" t="s">
        <v>39</v>
      </c>
      <c r="FA33" s="25">
        <f>SUM(FA23:FA32)</f>
        <v>1985.2</v>
      </c>
      <c r="FB33" s="25">
        <f t="shared" ref="FB33:FJ33" si="489">SUM(FB23:FB32)</f>
        <v>640</v>
      </c>
      <c r="FC33" s="25">
        <f>SUM(FC23:FC32)</f>
        <v>1345.2</v>
      </c>
      <c r="FD33" s="25">
        <f t="shared" si="489"/>
        <v>2689.3</v>
      </c>
      <c r="FE33" s="78">
        <f>(FE23*FS23+FE24*FS24+FE25*FS25+FE26*FS26+FE27*FS27+FE28*FS28+FE29*FS29+FE30*FS30+FE31*FS31+FE32*FS32)/FS33</f>
        <v>0.41570392937580442</v>
      </c>
      <c r="FF33" s="25">
        <f t="shared" si="489"/>
        <v>2045.5</v>
      </c>
      <c r="FG33" s="78">
        <f>(FG23*FS23+FG24*FS24+FG25*FS25+FG26*FS26+FG27*FS27+FG28*FS28+FG29*FS29+FG30*FS30+FG31*FS31+FG32*FS32)/FS33</f>
        <v>0.33478875080437581</v>
      </c>
      <c r="FH33" s="26">
        <f>SUM(FH23:FH32)</f>
        <v>0</v>
      </c>
      <c r="FI33" s="79">
        <f>(FI23*FS23+FI24*FS24+FI25*FS25+FI26*FS26+FI27*FS27+FI28*FS28+FI29*FS29+FI30*FS30+FI31*FS31+FI32*FS32)/FS33</f>
        <v>0</v>
      </c>
      <c r="FJ33" s="25">
        <f t="shared" si="489"/>
        <v>0</v>
      </c>
      <c r="FK33" s="78">
        <f>(FK23*FS23+FK24*FS24+FK25*FS25+FK26*FS26+FK27*FS27+FK28*FS28+FK29*FS29+FK30*FS30+FK31*FS31+FK32*FS32)/FS33</f>
        <v>0.22536145015983725</v>
      </c>
      <c r="FL33" s="81">
        <f>(FL23*FS23+FL24*FS24+FL25*FS25+FL26*FS26+FL27*FS27+FL28*FS28+FL29*FS29+FL30*FS30+FL31*FS31+FL32*FS32)/FS33</f>
        <v>0.24950731981981983</v>
      </c>
      <c r="FM33" s="81">
        <f>(FM23*FS23+FM24*FS24+FM25*FS25+FM26*FS26+FM27*FS27+FM28*FS28+FM29*FS29+FM30*FS30+FM31*FS31+FM32*FS32)/FS33</f>
        <v>0.41597230340840252</v>
      </c>
      <c r="FN33" s="81"/>
      <c r="FO33" s="81">
        <f>(FO23*FS23+FO24*FS24+FO25*FS25+FO26*FS26+FO27*FS27+FO28*FS28+FO29*FS29+FO30*FS30+FO31*FS31+FO32*FS32)/FS33</f>
        <v>7.0714687902187892E-2</v>
      </c>
      <c r="FP33" s="149"/>
      <c r="FQ33" s="30">
        <f>SUM(FQ23:FQ32)</f>
        <v>6720</v>
      </c>
      <c r="FR33" s="33">
        <f>SUM(FR23:FR32)</f>
        <v>28132</v>
      </c>
      <c r="FS33" s="29">
        <f>SUM(FS23:FS32)</f>
        <v>592</v>
      </c>
      <c r="FV33" s="87" t="s">
        <v>39</v>
      </c>
      <c r="FW33" s="25">
        <f>SUM(FW23:FW32)</f>
        <v>1912.5</v>
      </c>
      <c r="FX33" s="25">
        <f t="shared" ref="FX33:GF33" si="490">SUM(FX23:FX32)</f>
        <v>927</v>
      </c>
      <c r="FY33" s="25">
        <f>SUM(FY23:FY32)</f>
        <v>985.5</v>
      </c>
      <c r="FZ33" s="25">
        <f t="shared" si="490"/>
        <v>3295.5</v>
      </c>
      <c r="GA33" s="78">
        <f>(GA23*GO23+GA24*GO24+GA25*GO25+GA26*GO26+GA27*GO27+GA28*GO28+GA29*GO29+GA30*GO30+GA31*GO31+GA32*GO32)/GO33</f>
        <v>0.45181042938099392</v>
      </c>
      <c r="GB33" s="25">
        <f t="shared" si="490"/>
        <v>2232</v>
      </c>
      <c r="GC33" s="78">
        <f>(GC23*GO23+GC24*GO24+GC25*GO25+GC26*GO26+GC27*GO27+GC28*GO28+GC29*GO29+GC30*GO30+GC31*GO31+GC32*GO32)/GO33</f>
        <v>0.33108108108108109</v>
      </c>
      <c r="GD33" s="26">
        <f>SUM(GD23:GD32)</f>
        <v>0</v>
      </c>
      <c r="GE33" s="79">
        <f>(GE23*GO23+GE24*GO24+GE25*GO25+GE26*GO26+GE27*GO27+GE28*GO28+GE29*GO29+GE30*GO30+GE31*GO31+GE32*GO32)/GO33</f>
        <v>0</v>
      </c>
      <c r="GF33" s="25">
        <f t="shared" si="490"/>
        <v>0</v>
      </c>
      <c r="GG33" s="78">
        <f>(GG23*GO23+GG24*GO24+GG25*GO25+GG26*GO26+GG27*GO27+GG28*GO28+GG29*GO29+GG30*GO30+GG31*GO31+GG32*GO32)/GO33</f>
        <v>0.21710848953792503</v>
      </c>
      <c r="GH33" s="81">
        <f>(GH23*GO23+GH24*GO24+GH25*GO25+GH26*GO26+GH27*GO27+GH28*GO28+GH29*GO29+GH30*GO30+GH31*GO31+GH32*GO32)/GO33</f>
        <v>0.21710848953792503</v>
      </c>
      <c r="GI33" s="81">
        <f>(GI23*GO23+GI24*GO24+GI25*GO25+GI26*GO26+GI27*GO27+GI28*GO28+GI29*GO29+GI30*GO30+GI31*GO31+GI32*GO32)/GO33</f>
        <v>0.47881087418015905</v>
      </c>
      <c r="GJ33" s="81">
        <f>(GJ23*GO23+GJ24*GO24+GJ25*GO25+GJ26*GO26+GJ27*GO27+GJ28*GO28+GJ29*GO29+GJ30*GO30+GJ31*GO31+GJ32*GO32)/GO33</f>
        <v>0</v>
      </c>
      <c r="GK33" s="81">
        <f>(GK23*GO23+GK24*GO24+GK25*GO25+GK26*GO26+GK27*GO27+GK28*GO28+GK29*GO29+GK30*GO30+GK31*GO31+GK32*GO32)/GO33</f>
        <v>6.6205318221447262E-2</v>
      </c>
      <c r="GL33" s="149"/>
      <c r="GM33" s="30">
        <f>SUM(GM23:GM32)</f>
        <v>7440</v>
      </c>
      <c r="GN33" s="33">
        <f>SUM(GN23:GN32)</f>
        <v>29160</v>
      </c>
      <c r="GO33" s="29">
        <f>SUM(GO23:GO32)</f>
        <v>592</v>
      </c>
      <c r="GR33" s="87" t="s">
        <v>39</v>
      </c>
      <c r="GS33" s="115">
        <f>SUM(GS23:GS32)</f>
        <v>2123.5</v>
      </c>
      <c r="GT33" s="115">
        <f t="shared" ref="GT33:HB33" si="491">SUM(GT23:GT32)</f>
        <v>1492</v>
      </c>
      <c r="GU33" s="115">
        <f>SUM(GU23:GU32)</f>
        <v>631.5</v>
      </c>
      <c r="GV33" s="115">
        <f t="shared" si="491"/>
        <v>2916.5</v>
      </c>
      <c r="GW33" s="116">
        <f>(GW23*HK23+GW24*HK24+GW25*HK25+GW26*HK26+GW27*HK27+GW28*HK28+GW29*HK29+GW30*HK30+GW31*HK31+GW32*HK32)/HK33</f>
        <v>0.41982216591591592</v>
      </c>
      <c r="GX33" s="115">
        <f t="shared" si="491"/>
        <v>2160</v>
      </c>
      <c r="GY33" s="116">
        <f>(GY23*HK23+GY24*HK24+GY25*HK25+GY26*HK26+GY27*HK27+GY28*HK28+GY29*HK29+GY30*HK30+GY31*HK31+GY32*HK32)/HK33</f>
        <v>0.33108108108108109</v>
      </c>
      <c r="GZ33" s="117">
        <f>SUM(GZ23:GZ32)</f>
        <v>0</v>
      </c>
      <c r="HA33" s="118">
        <f>(HA23*HK23+HA24*HK24+HA25*HK25+HA26*HK26+HA27*HK27+HA28*HK28+HA29*HK29+HA30*HK30+HA31*HK31+HA32*HK32)/HK33</f>
        <v>0</v>
      </c>
      <c r="HB33" s="115">
        <f t="shared" si="491"/>
        <v>0</v>
      </c>
      <c r="HC33" s="116">
        <f>(HC23*HK23+HC24*HK24+HC25*HK25+HC26*HK26+HC27*HK27+HC28*HK28+HC29*HK29+HC30*HK30+HC31*HK31+HC32*HK32)/HK33</f>
        <v>0.24106137387387389</v>
      </c>
      <c r="HD33" s="119">
        <f>(HD23*$HK$23+HD24*$HK$24+HD25*$HK$25+HD26*$HK$26+HD27*$HK$27+HD28*$HK$28+HD29*$HK$29+HD30*$HK$30+HD31*$HK$31+HD32*$HK$32)/$HK$33</f>
        <v>0.24909675300300299</v>
      </c>
      <c r="HE33" s="119">
        <f>(HE23*HK23+HE24*HK24+HE25*HK25+HE26*HK26+HE27*HK27+HE28*HK28+HE29*HK29+HE30*HK30+HE31*HK31+HE32*HK32)/HK33</f>
        <v>0.42161386065267614</v>
      </c>
      <c r="HF33" s="119">
        <f>(HF23*$HK$23+HF24*$HK$24+HF25*$HK$25+HF26*$HK$26+HF27*$HK$27+HF28*$HK$28+HF29*$HK$29+HF30*$HK$30+HF31*$HK$31+HF32*$HK$32)/$HK$33</f>
        <v>0</v>
      </c>
      <c r="HG33" s="119">
        <f>(HG23*HK23+HG24*HK24+HG25*HK25+HG26*HK26+HG27*HK27+HG28*HK28+HG29*HK29+HG30*HK30+HG31*HK31+HG32*HK32)/HK33</f>
        <v>0.11442849099099101</v>
      </c>
      <c r="HH33" s="115">
        <f t="shared" ref="HH33" si="492">SUM(HH23:HH32)</f>
        <v>1</v>
      </c>
      <c r="HI33" s="120">
        <f>SUM(HI23:HI32)</f>
        <v>7200</v>
      </c>
      <c r="HJ33" s="75">
        <f>SUM(HJ23:HJ32)</f>
        <v>48774</v>
      </c>
      <c r="HK33" s="48">
        <f>SUM(HK23:HK32)</f>
        <v>592</v>
      </c>
      <c r="HN33" s="87" t="s">
        <v>39</v>
      </c>
      <c r="HO33" s="25">
        <f>SUM(HO23:HO32)</f>
        <v>3763.3999999999996</v>
      </c>
      <c r="HP33" s="25">
        <f t="shared" ref="HP33:HX33" si="493">SUM(HP23:HP32)</f>
        <v>1544.4999999999998</v>
      </c>
      <c r="HQ33" s="25">
        <f>SUM(HQ23:HQ32)</f>
        <v>2218.8999999999996</v>
      </c>
      <c r="HR33" s="25">
        <f t="shared" si="493"/>
        <v>1325.5</v>
      </c>
      <c r="HS33" s="78">
        <f>(HS23*IG23+HS24*IG24+HS25*IG25+HS26*IG26+HS27*IG27+HS28*IG28+HS29*IG29+HS30*IG30+HS31*IG31+HS32*IG32)/IG33</f>
        <v>0.22817449505957574</v>
      </c>
      <c r="HT33" s="25">
        <f t="shared" si="493"/>
        <v>2290.3000000000002</v>
      </c>
      <c r="HU33" s="78">
        <f>(HU23*IG23+HU24*IG24+HU25*IG25+HU26*IG26+HU27*IG27+HU28*IG28+HU29*IG29+HU30*IG30+HU31*IG31+HU32*IG32)/IG33</f>
        <v>0.33769934248764893</v>
      </c>
      <c r="HV33" s="26">
        <f>SUM(HV23:HV32)</f>
        <v>60.800000000000004</v>
      </c>
      <c r="HW33" s="79">
        <f>(HW23*IG23+HW24*IG24+HW25*IG25+HW26*IG26+HW27*IG27+HW28*IG28+HW29*IG29+HW30*IG30+HW31*IG31+HW32*IG32)/IG33</f>
        <v>6.9020633536762584E-3</v>
      </c>
      <c r="HX33" s="25">
        <f t="shared" si="493"/>
        <v>0</v>
      </c>
      <c r="HY33" s="78">
        <f>(HY23*IG23+HY24*IG24+HY25*IG25+HY26*IG26+HY27*IG27+HY28*IG28+HY29*IG29+HY30*IG30+HY31*IG31+HY32*IG32)/IG33</f>
        <v>0.42722409909909903</v>
      </c>
      <c r="HZ33" s="81">
        <f>(HZ23*IG23+HZ24*IG24+HZ25*IG25+HZ26*IG26+HZ27*IG27+HZ28*IG28+HZ29*IG29+HZ30*IG30+HZ31*IG31+HZ32*IG32)/IG33</f>
        <v>0.42722409909909903</v>
      </c>
      <c r="IA33" s="81">
        <f>(IA23*IG23+IA24*IG24+IA25*IG25+IA26*IG26+IA27*IG27+IA28*IG28+IA29*IG29+IA30*IG30+IA31*IG31+IA32*IG32)/IG33</f>
        <v>0.28313977662359452</v>
      </c>
      <c r="IB33" s="81">
        <f>(IB23*IG23+IB24*IG24+IB25*IG25+IB26*IG26+IB27*IG27+IB28*IG28+IB29*IG29+IB30*IG30+IB31*IG31+IB32*IG32)/IG33</f>
        <v>0</v>
      </c>
      <c r="IC33" s="81">
        <f>(IC23*IG23+IC24*IG24+IC25*IG25+IC26*IG26+IC27*IG27+IC28*IG28+IC29*IG29+IC30*IG30+IC31*IG31+IC32*IG32)/IG33</f>
        <v>0.10709550276082533</v>
      </c>
      <c r="ID33" s="25">
        <f t="shared" ref="ID33" si="494">SUM(ID23:ID32)</f>
        <v>1</v>
      </c>
      <c r="IE33" s="30">
        <f>SUM(IE23:IE32)</f>
        <v>7440</v>
      </c>
      <c r="IF33" s="89">
        <f>SUM(IF23:IF32)</f>
        <v>47170</v>
      </c>
      <c r="IG33" s="29">
        <f>SUM(IG23:IG32)</f>
        <v>592</v>
      </c>
      <c r="IJ33" s="87" t="s">
        <v>84</v>
      </c>
      <c r="IK33" s="30">
        <f>SUM(IK23:IK32)</f>
        <v>4293.3</v>
      </c>
      <c r="IL33" s="30">
        <f t="shared" ref="IL33:IN33" si="495">SUM(IL23:IL32)</f>
        <v>2230.1</v>
      </c>
      <c r="IM33" s="30">
        <f t="shared" si="495"/>
        <v>2063.1999999999998</v>
      </c>
      <c r="IN33" s="30">
        <f t="shared" si="495"/>
        <v>744</v>
      </c>
      <c r="IO33" s="78">
        <f>(IO23*JC23+IO24*JC24+IO25*JC25+IO26*JC26+IO27*JC27+IO28*JC28+IO29*JC29+IO30*JC30+IO31*JC31+IO32*JC32)/JC33</f>
        <v>0.16497747747747749</v>
      </c>
      <c r="IP33" s="30">
        <f>SUM(IP23:IP32)</f>
        <v>2160</v>
      </c>
      <c r="IQ33" s="79">
        <f>(IQ23*JC23+IQ24*JC24+IQ25*JC25+IQ26*JC26+IQ27*JC27+IQ28*JC28+IQ29*JC29+IQ30*JC30+IQ31*JC31+IQ32*JC32)/JC33</f>
        <v>0.33108108108108109</v>
      </c>
      <c r="IR33" s="30">
        <f>SUM(IR23:IR32)</f>
        <v>2.7</v>
      </c>
      <c r="IS33" s="79">
        <f>(IS23*JC23+IS24*JC24+IS25*JC25+IS26*JC26+IS27*JC27+IS28*JC28+IS29*JC29+IS30*JC30+IS31*JC31+IS32*JC32)/JC33</f>
        <v>3.1672297297297304E-4</v>
      </c>
      <c r="IT33" s="30">
        <f>SUM(IT23:IT32)</f>
        <v>0</v>
      </c>
      <c r="IU33" s="78">
        <f>(IU23*JC23+IU24*JC24+IU25*JC25+IU26*JC26+IU27*JC27+IU28*JC28+IU29*JC29+IU30*JC30+IU31*JC31+IU32*JC32)/JC33</f>
        <v>0.50362471846846857</v>
      </c>
      <c r="IV33" s="78">
        <f>(IV23*JC23+IV24*JC24+IV25*JC25+IV26*JC26+IV27*JC27+IV28*JC28+IV29*JC29+IV30*JC30+IV31*JC31+IV32*JC32)/JC33</f>
        <v>0.50362471846846857</v>
      </c>
      <c r="IW33" s="78">
        <f>(IW23*JC23+IW24*JC24+IW25*JC25+IW26*JC26+IW27*JC27+IW28*JC28+IW29*JC29+IW30*JC30+IW31*JC31+IW32*JC32)/JC33</f>
        <v>0.16841604279487096</v>
      </c>
      <c r="IX33" s="78">
        <f>(IX23*JC23+IX24*JC24+IX25*JC25+IX26*JC26+IX27*JC27+IX28*JC28+IX29*JC29+IX30*JC30+IX31*JC31+IX32*JC32)/JC33</f>
        <v>0</v>
      </c>
      <c r="IY33" s="78">
        <f>(IY23*JC23+IY24*JC24+IY25*JC25+IY26*JC26+IY27*JC27+IY28*JC28+IY29*JC29+IY30*JC30+IY31*JC31+IY32*JC32)/JC33</f>
        <v>0.17792558183183182</v>
      </c>
      <c r="IZ33" s="31">
        <f>SUM(IZ23:IZ32)</f>
        <v>3</v>
      </c>
      <c r="JA33" s="33">
        <f>SUM(JA23:JA32)</f>
        <v>7200</v>
      </c>
      <c r="JB33" s="33">
        <f>SUM(JB23:JB32)</f>
        <v>75839</v>
      </c>
      <c r="JC33" s="29">
        <f>SUM(JC23:JC32)</f>
        <v>592</v>
      </c>
    </row>
    <row r="34" spans="1:263" ht="15" x14ac:dyDescent="0.25">
      <c r="A34" s="16" t="s">
        <v>40</v>
      </c>
      <c r="B34" s="37" t="s">
        <v>47</v>
      </c>
      <c r="C34" s="8">
        <v>744</v>
      </c>
      <c r="D34" s="8">
        <v>99.7</v>
      </c>
      <c r="E34" s="8">
        <v>644.29999999999995</v>
      </c>
      <c r="F34" s="8">
        <v>0</v>
      </c>
      <c r="G34" s="6">
        <f>(F34/$B$4)</f>
        <v>0</v>
      </c>
      <c r="H34" s="8">
        <v>0</v>
      </c>
      <c r="I34" s="6">
        <f>(H34/$B$4)</f>
        <v>0</v>
      </c>
      <c r="J34" s="6">
        <v>0</v>
      </c>
      <c r="K34" s="6">
        <f>(J34/$B$4)</f>
        <v>0</v>
      </c>
      <c r="L34" s="8">
        <v>0</v>
      </c>
      <c r="M34" s="69">
        <f>(C34/$B$4)</f>
        <v>1</v>
      </c>
      <c r="N34" s="69">
        <f>((C34-L34)/$B$4)</f>
        <v>1</v>
      </c>
      <c r="O34" s="69">
        <f>IF((AND(D34=0,F34=0)),0,(F34+L34)/(D34+F34+L34))</f>
        <v>0</v>
      </c>
      <c r="P34" s="149">
        <f>L34/$B$4</f>
        <v>0</v>
      </c>
      <c r="Q34" s="69">
        <f>(T34/($B$4*U34))</f>
        <v>0.10720686123911931</v>
      </c>
      <c r="R34" s="15">
        <v>0</v>
      </c>
      <c r="S34" s="6">
        <f>SUM(D34:F34,H34,J34)</f>
        <v>744</v>
      </c>
      <c r="T34" s="19">
        <v>1675</v>
      </c>
      <c r="U34" s="8">
        <v>21</v>
      </c>
      <c r="W34" s="16" t="s">
        <v>40</v>
      </c>
      <c r="X34" s="37" t="s">
        <v>47</v>
      </c>
      <c r="Y34" s="8">
        <v>744</v>
      </c>
      <c r="Z34" s="8">
        <v>221.6</v>
      </c>
      <c r="AA34" s="8">
        <v>522.4</v>
      </c>
      <c r="AB34" s="8">
        <v>0</v>
      </c>
      <c r="AC34" s="6">
        <f>(AB34/$X$4)</f>
        <v>0</v>
      </c>
      <c r="AD34" s="8">
        <v>0</v>
      </c>
      <c r="AE34" s="6">
        <f>(AD34/$X$4)</f>
        <v>0</v>
      </c>
      <c r="AF34" s="6">
        <v>0</v>
      </c>
      <c r="AG34" s="6">
        <f>(AF34/$X$4)</f>
        <v>0</v>
      </c>
      <c r="AH34" s="8">
        <v>0</v>
      </c>
      <c r="AI34" s="69">
        <f>(Y34/$X$4)</f>
        <v>1</v>
      </c>
      <c r="AJ34" s="69">
        <f>((Y34-AH34)/$X$4)</f>
        <v>1</v>
      </c>
      <c r="AK34" s="69">
        <f>IF((AND(Z34=0,AB34=0)),0,(AB34+AH34)/(Z34+AB34+AH34))</f>
        <v>0</v>
      </c>
      <c r="AL34" s="149">
        <f>AH34/$X$4</f>
        <v>0</v>
      </c>
      <c r="AM34" s="69">
        <f>(AP34/($X$4*AQ34))</f>
        <v>0.24545570916538659</v>
      </c>
      <c r="AN34" s="15">
        <v>0</v>
      </c>
      <c r="AO34" s="6">
        <f>SUM(Z34:AB34,AD34,AF34)</f>
        <v>744</v>
      </c>
      <c r="AP34" s="19">
        <v>3835</v>
      </c>
      <c r="AQ34" s="8">
        <v>21</v>
      </c>
      <c r="AS34" s="16" t="s">
        <v>40</v>
      </c>
      <c r="AT34" s="37" t="s">
        <v>47</v>
      </c>
      <c r="AU34" s="8">
        <v>720</v>
      </c>
      <c r="AV34" s="8">
        <v>236.3</v>
      </c>
      <c r="AW34" s="8">
        <v>483.7</v>
      </c>
      <c r="AX34" s="8">
        <v>0</v>
      </c>
      <c r="AY34" s="6">
        <f>(AX34/$AT$4)</f>
        <v>0</v>
      </c>
      <c r="AZ34" s="8">
        <v>0</v>
      </c>
      <c r="BA34" s="6">
        <f>(AZ34/$AT$4)</f>
        <v>0</v>
      </c>
      <c r="BB34" s="8">
        <v>0</v>
      </c>
      <c r="BC34" s="6">
        <f>(BB34/$AT$4)</f>
        <v>0</v>
      </c>
      <c r="BD34" s="8">
        <v>0</v>
      </c>
      <c r="BE34" s="69">
        <f>(AU34/$AT$4)</f>
        <v>1</v>
      </c>
      <c r="BF34" s="69">
        <f>((AU34-BD34)/$AT$4)</f>
        <v>1</v>
      </c>
      <c r="BG34" s="69">
        <f>IF((AND(AV34=0,AX34=0)),0,(AX34+BD34)/(AV34+AX34+BD34))</f>
        <v>0</v>
      </c>
      <c r="BH34" s="149">
        <f>BD34/$AT$4</f>
        <v>0</v>
      </c>
      <c r="BI34" s="69">
        <f>(BL34/($AT$4*BM34))</f>
        <v>0.27850529100529098</v>
      </c>
      <c r="BJ34" s="6"/>
      <c r="BK34" s="6">
        <f>SUM(AV34:AX34,AZ34,BB34)</f>
        <v>720</v>
      </c>
      <c r="BL34" s="8">
        <v>4211</v>
      </c>
      <c r="BM34" s="8">
        <v>21</v>
      </c>
      <c r="BO34" s="16" t="s">
        <v>40</v>
      </c>
      <c r="BP34" s="37" t="s">
        <v>47</v>
      </c>
      <c r="BQ34" s="8">
        <v>744</v>
      </c>
      <c r="BR34" s="8">
        <v>248.8</v>
      </c>
      <c r="BS34" s="8">
        <v>495.2</v>
      </c>
      <c r="BT34" s="8">
        <v>0</v>
      </c>
      <c r="BU34" s="6">
        <f>(BT34/$BP$4)</f>
        <v>0</v>
      </c>
      <c r="BV34" s="8">
        <v>0</v>
      </c>
      <c r="BW34" s="6">
        <f>(BV34/$BP$4)</f>
        <v>0</v>
      </c>
      <c r="BX34" s="8">
        <v>0</v>
      </c>
      <c r="BY34" s="6">
        <f>(BX34/$BP$4)</f>
        <v>0</v>
      </c>
      <c r="BZ34" s="8">
        <v>0</v>
      </c>
      <c r="CA34" s="69">
        <f>(BQ34/$BP$4)</f>
        <v>1</v>
      </c>
      <c r="CB34" s="69">
        <f>((BQ34-BZ34)/$BP$4)</f>
        <v>1</v>
      </c>
      <c r="CC34" s="149">
        <f>IF((AND(BR34=0,BT34=0)),0,(BT34+BZ34)/(BR34+BT34+BZ34))</f>
        <v>0</v>
      </c>
      <c r="CD34" s="149">
        <f>BZ34/$BP$4</f>
        <v>0</v>
      </c>
      <c r="CE34" s="69">
        <f>(CH34/($BP$4*CI34))</f>
        <v>0.28251408090117769</v>
      </c>
      <c r="CF34" s="69"/>
      <c r="CG34" s="42">
        <f>SUM(BR34:BT34,BV34,BX34)</f>
        <v>744</v>
      </c>
      <c r="CH34" s="19">
        <v>4414</v>
      </c>
      <c r="CI34" s="8">
        <v>21</v>
      </c>
      <c r="CK34" s="16" t="s">
        <v>40</v>
      </c>
      <c r="CL34" s="37" t="s">
        <v>47</v>
      </c>
      <c r="CM34" s="8">
        <v>720</v>
      </c>
      <c r="CN34" s="8">
        <v>69.900000000000006</v>
      </c>
      <c r="CO34" s="8">
        <v>650.1</v>
      </c>
      <c r="CP34" s="8">
        <v>0</v>
      </c>
      <c r="CQ34" s="6">
        <f>(CP34/$CL$4)</f>
        <v>0</v>
      </c>
      <c r="CR34" s="8">
        <v>0</v>
      </c>
      <c r="CS34" s="6">
        <f>(CR34/$CL$4)</f>
        <v>0</v>
      </c>
      <c r="CT34" s="8">
        <v>0</v>
      </c>
      <c r="CU34" s="6">
        <f>(CT34/$CL$4)</f>
        <v>0</v>
      </c>
      <c r="CV34" s="8">
        <v>0</v>
      </c>
      <c r="CW34" s="69">
        <f>(CM34/$CL$4)</f>
        <v>1</v>
      </c>
      <c r="CX34" s="69">
        <f>((CM34-CV34)/$CL$4)</f>
        <v>1</v>
      </c>
      <c r="CY34" s="149">
        <f>IF((AND(CN34=0,CP34=0)),0,(CP34+CV34)/(CN34+CP34+CV34))</f>
        <v>0</v>
      </c>
      <c r="CZ34" s="149">
        <f>CV34/$CL$4</f>
        <v>0</v>
      </c>
      <c r="DA34" s="69">
        <f>(DD34/($CL$4*DE34))</f>
        <v>8.0753968253968259E-2</v>
      </c>
      <c r="DB34" s="6"/>
      <c r="DC34" s="6">
        <f>SUM(CN34:CP34,CR34,CT34)</f>
        <v>720</v>
      </c>
      <c r="DD34" s="19">
        <v>1221</v>
      </c>
      <c r="DE34" s="8">
        <v>21</v>
      </c>
      <c r="DG34" s="16" t="s">
        <v>40</v>
      </c>
      <c r="DH34" s="37" t="s">
        <v>47</v>
      </c>
      <c r="DI34" s="8">
        <v>734</v>
      </c>
      <c r="DJ34" s="8">
        <v>110.1</v>
      </c>
      <c r="DK34" s="8">
        <v>623.9</v>
      </c>
      <c r="DL34" s="8">
        <v>10</v>
      </c>
      <c r="DM34" s="69">
        <f>(DL34/$DH$4)</f>
        <v>1.3440860215053764E-2</v>
      </c>
      <c r="DN34" s="8">
        <v>0</v>
      </c>
      <c r="DO34" s="69">
        <f>(DN34/$DH$4)</f>
        <v>0</v>
      </c>
      <c r="DP34" s="6">
        <v>0</v>
      </c>
      <c r="DQ34" s="69">
        <f>(DP34/$DH$4)</f>
        <v>0</v>
      </c>
      <c r="DR34" s="8">
        <v>0</v>
      </c>
      <c r="DS34" s="69">
        <f>(DI34/$X$4)</f>
        <v>0.98655913978494625</v>
      </c>
      <c r="DT34" s="69">
        <f>((DI34-DR34)/$DH$4)</f>
        <v>0.98655913978494625</v>
      </c>
      <c r="DU34" s="149">
        <f>IF((AND(DJ34=0,DL34=0)),0,(DL34+DR34)/(DJ34+DL34+DR34))</f>
        <v>8.3263946711074108E-2</v>
      </c>
      <c r="DV34" s="149">
        <f>DR34/$DH$4</f>
        <v>0</v>
      </c>
      <c r="DW34" s="69">
        <f>(DZ34/($DH$4*EA34))</f>
        <v>0.12154377880184332</v>
      </c>
      <c r="DX34" s="69"/>
      <c r="DY34" s="15">
        <f>SUM(DJ34:DL34,DN34,DP34)</f>
        <v>744</v>
      </c>
      <c r="DZ34" s="38">
        <v>1899</v>
      </c>
      <c r="EA34" s="8">
        <v>21</v>
      </c>
      <c r="EC34" s="16" t="s">
        <v>40</v>
      </c>
      <c r="ED34" s="37" t="s">
        <v>47</v>
      </c>
      <c r="EE34" s="8">
        <v>744</v>
      </c>
      <c r="EF34" s="8">
        <v>150.19999999999999</v>
      </c>
      <c r="EG34" s="8">
        <v>593.79999999999995</v>
      </c>
      <c r="EH34" s="8">
        <v>0</v>
      </c>
      <c r="EI34" s="6">
        <f>(EH34/$ED$4)</f>
        <v>0</v>
      </c>
      <c r="EJ34" s="8">
        <v>0</v>
      </c>
      <c r="EK34" s="6">
        <f>(EJ34/$ED$4)</f>
        <v>0</v>
      </c>
      <c r="EL34" s="6">
        <v>0</v>
      </c>
      <c r="EM34" s="6">
        <f>(EL34/$ED$4)</f>
        <v>0</v>
      </c>
      <c r="EN34" s="8">
        <v>0</v>
      </c>
      <c r="EO34" s="69">
        <f>(EE34/$X$4)</f>
        <v>1</v>
      </c>
      <c r="EP34" s="69">
        <f>((EE34-EN34)/$ED$4)</f>
        <v>1</v>
      </c>
      <c r="EQ34" s="149">
        <f>IF((AND(EF34=0,EH34=0)),0,(EH34+EN34)/(EF34+EH34+EN34))</f>
        <v>0</v>
      </c>
      <c r="ER34" s="149">
        <f>EN34/$ED$4</f>
        <v>0</v>
      </c>
      <c r="ES34" s="69">
        <f>(EV34/($ED$4*EW34))</f>
        <v>0.16372247823860728</v>
      </c>
      <c r="ET34" s="6"/>
      <c r="EU34" s="6">
        <f>SUM(EF34:EH34,EJ34,EL34)</f>
        <v>744</v>
      </c>
      <c r="EV34" s="19">
        <v>2558</v>
      </c>
      <c r="EW34" s="8">
        <v>21</v>
      </c>
      <c r="EY34" s="16" t="s">
        <v>40</v>
      </c>
      <c r="EZ34" s="37" t="s">
        <v>47</v>
      </c>
      <c r="FA34" s="8">
        <v>672</v>
      </c>
      <c r="FB34" s="8">
        <v>103.2</v>
      </c>
      <c r="FC34" s="8">
        <v>568.79999999999995</v>
      </c>
      <c r="FD34" s="8">
        <v>0</v>
      </c>
      <c r="FE34" s="6">
        <f>(FD34/$EZ$4)</f>
        <v>0</v>
      </c>
      <c r="FF34" s="8">
        <v>0</v>
      </c>
      <c r="FG34" s="6">
        <f>(FF34/$EZ$4)</f>
        <v>0</v>
      </c>
      <c r="FH34" s="6">
        <v>0</v>
      </c>
      <c r="FI34" s="6">
        <f>(FH34/$EZ$4)</f>
        <v>0</v>
      </c>
      <c r="FJ34" s="8">
        <v>0</v>
      </c>
      <c r="FK34" s="69">
        <f>(FA34/$X$4)</f>
        <v>0.90322580645161288</v>
      </c>
      <c r="FL34" s="69">
        <f>((FA34-FJ34)/$EZ$4)</f>
        <v>1</v>
      </c>
      <c r="FM34" s="149">
        <f>IF((AND(FB34=0,FD34=0)),0,(FD34+FJ34)/(FB34+FD34+FJ34))</f>
        <v>0</v>
      </c>
      <c r="FN34" s="149">
        <f>FJ34/$EZ$4</f>
        <v>0</v>
      </c>
      <c r="FO34" s="69">
        <f>(FR34/($EZ$4*FS34))</f>
        <v>0.12301587301587301</v>
      </c>
      <c r="FP34" s="6"/>
      <c r="FQ34" s="6">
        <f>SUM(FB34:FD34,FF34,FH34)</f>
        <v>672</v>
      </c>
      <c r="FR34" s="19">
        <v>1736</v>
      </c>
      <c r="FS34" s="8">
        <v>21</v>
      </c>
      <c r="FU34" s="16" t="s">
        <v>40</v>
      </c>
      <c r="FV34" s="37" t="s">
        <v>47</v>
      </c>
      <c r="FW34" s="8">
        <v>744</v>
      </c>
      <c r="FX34" s="8">
        <v>237.5</v>
      </c>
      <c r="FY34" s="8">
        <v>506.5</v>
      </c>
      <c r="FZ34" s="8">
        <v>0</v>
      </c>
      <c r="GA34" s="69">
        <f>(FZ34/$FV$4)</f>
        <v>0</v>
      </c>
      <c r="GB34" s="8">
        <v>0</v>
      </c>
      <c r="GC34" s="69">
        <f>(GB34/$FV$4)</f>
        <v>0</v>
      </c>
      <c r="GD34" s="6">
        <v>0</v>
      </c>
      <c r="GE34" s="6">
        <f>(GD34/$FV$4)</f>
        <v>0</v>
      </c>
      <c r="GF34" s="8">
        <v>0</v>
      </c>
      <c r="GG34" s="69">
        <f>(FW34/$X$4)</f>
        <v>1</v>
      </c>
      <c r="GH34" s="69">
        <f>((FW34-GF34)/$FV$4)</f>
        <v>1</v>
      </c>
      <c r="GI34" s="149">
        <f>IF((AND(FX34=0,FZ34=0)),0,(FZ34+GF34)/(FX34+FZ34+GF34))</f>
        <v>0</v>
      </c>
      <c r="GJ34" s="149">
        <f>GF34/$FV$4</f>
        <v>0</v>
      </c>
      <c r="GK34" s="69">
        <f>(GN34/($FV$4*GO34))</f>
        <v>0.25556835637480801</v>
      </c>
      <c r="GL34" s="69"/>
      <c r="GM34" s="6">
        <f>SUM(FX34:FZ34,GB34,GD34)</f>
        <v>744</v>
      </c>
      <c r="GN34" s="19">
        <v>3993</v>
      </c>
      <c r="GO34" s="8">
        <v>21</v>
      </c>
      <c r="GQ34" s="16" t="s">
        <v>40</v>
      </c>
      <c r="GR34" s="37" t="s">
        <v>47</v>
      </c>
      <c r="GS34" s="8">
        <v>600</v>
      </c>
      <c r="GT34" s="8">
        <v>193.3</v>
      </c>
      <c r="GU34" s="8">
        <v>406.7</v>
      </c>
      <c r="GV34" s="8">
        <v>120</v>
      </c>
      <c r="GW34" s="6">
        <f>(GV34/$GR$4)</f>
        <v>0.16666666666666666</v>
      </c>
      <c r="GX34" s="8">
        <v>0</v>
      </c>
      <c r="GY34" s="8">
        <f>(GX34/$GR$4)</f>
        <v>0</v>
      </c>
      <c r="GZ34" s="8">
        <v>0</v>
      </c>
      <c r="HA34" s="6">
        <f>(GZ34/$GR$4)</f>
        <v>0</v>
      </c>
      <c r="HB34" s="8">
        <v>0</v>
      </c>
      <c r="HC34" s="69">
        <f>(GS34/$X$4)</f>
        <v>0.80645161290322576</v>
      </c>
      <c r="HD34" s="69">
        <f>((GS34-HB34)/$GR$4)</f>
        <v>0.83333333333333337</v>
      </c>
      <c r="HE34" s="149">
        <f>IF((AND(GT34=0,GV34=0)),0,(GV34+HB34)/(GT34+GV34+HB34))</f>
        <v>0.38301947015639959</v>
      </c>
      <c r="HF34" s="149">
        <f>HB34/$GR$4</f>
        <v>0</v>
      </c>
      <c r="HG34" s="69">
        <f>(HJ34/($GR$4*HK34))</f>
        <v>0.20879629629629629</v>
      </c>
      <c r="HH34" s="15">
        <v>0</v>
      </c>
      <c r="HI34" s="6">
        <f>SUM(GT34:GV34,GX34,GZ34)</f>
        <v>720</v>
      </c>
      <c r="HJ34" s="19">
        <v>3157</v>
      </c>
      <c r="HK34" s="8">
        <v>21</v>
      </c>
      <c r="HM34" s="16" t="s">
        <v>40</v>
      </c>
      <c r="HN34" s="37" t="s">
        <v>47</v>
      </c>
      <c r="HO34" s="8">
        <v>0</v>
      </c>
      <c r="HP34" s="8">
        <v>0</v>
      </c>
      <c r="HQ34" s="8">
        <v>0</v>
      </c>
      <c r="HR34" s="8">
        <v>744</v>
      </c>
      <c r="HS34" s="6">
        <f>(HR34/$HN$4)</f>
        <v>1</v>
      </c>
      <c r="HT34" s="8">
        <v>0</v>
      </c>
      <c r="HU34" s="6">
        <f>(HT34/$HN$4)</f>
        <v>0</v>
      </c>
      <c r="HV34" s="8">
        <v>0</v>
      </c>
      <c r="HW34" s="6">
        <f>(HV34/$HN$4)</f>
        <v>0</v>
      </c>
      <c r="HX34" s="8">
        <v>0</v>
      </c>
      <c r="HY34" s="69">
        <f>(HO34/$HN$4)</f>
        <v>0</v>
      </c>
      <c r="HZ34" s="69">
        <f>((HO34-HX34)/$HN$4)</f>
        <v>0</v>
      </c>
      <c r="IA34" s="69">
        <f>IF((AND(HP34=0,HR34=0)),0,(HR34+HX34)/(HP34+HR34))</f>
        <v>1</v>
      </c>
      <c r="IB34" s="149">
        <f>HX34/$HN$4</f>
        <v>0</v>
      </c>
      <c r="IC34" s="69">
        <f>(IF34/($HN$4*IG34))</f>
        <v>0</v>
      </c>
      <c r="ID34" s="15">
        <v>0</v>
      </c>
      <c r="IE34" s="6">
        <f>SUM(HP34:HR34,HT34,HV34)</f>
        <v>744</v>
      </c>
      <c r="IF34" s="8">
        <v>0</v>
      </c>
      <c r="IG34" s="8">
        <v>21</v>
      </c>
      <c r="II34" s="16" t="s">
        <v>40</v>
      </c>
      <c r="IJ34" s="37" t="s">
        <v>47</v>
      </c>
      <c r="IK34" s="53">
        <v>0</v>
      </c>
      <c r="IL34" s="53">
        <v>0</v>
      </c>
      <c r="IM34" s="53">
        <v>0</v>
      </c>
      <c r="IN34" s="53">
        <v>720</v>
      </c>
      <c r="IO34" s="69">
        <f>(IN34/$IJ$4)</f>
        <v>1</v>
      </c>
      <c r="IP34" s="53">
        <v>0</v>
      </c>
      <c r="IQ34" s="69">
        <f>(IP34/$IJ$4)</f>
        <v>0</v>
      </c>
      <c r="IR34" s="53">
        <v>0</v>
      </c>
      <c r="IS34" s="69">
        <f>(IR34/$IJ$4)</f>
        <v>0</v>
      </c>
      <c r="IT34" s="53">
        <v>0</v>
      </c>
      <c r="IU34" s="69">
        <f>(IK34/$IJ$4)</f>
        <v>0</v>
      </c>
      <c r="IV34" s="164">
        <f>((IK34-IT34)/$IJ$4)</f>
        <v>0</v>
      </c>
      <c r="IW34" s="164">
        <f>IF((AND(IL34=0,IN34=0)),0,(IN34+IT34)/(IL34+IN34+IT34))</f>
        <v>1</v>
      </c>
      <c r="IX34" s="149">
        <f>IT34/$IJ$4</f>
        <v>0</v>
      </c>
      <c r="IY34" s="69">
        <f>(JB34/($IJ$4*JC34))</f>
        <v>0</v>
      </c>
      <c r="IZ34" s="15">
        <v>0</v>
      </c>
      <c r="JA34" s="15">
        <f>SUM(IL34:IN34,IP34,IR34)</f>
        <v>720</v>
      </c>
      <c r="JB34" s="54">
        <v>0</v>
      </c>
      <c r="JC34" s="8">
        <v>21</v>
      </c>
    </row>
    <row r="35" spans="1:263" ht="15" x14ac:dyDescent="0.25">
      <c r="A35" s="16" t="s">
        <v>41</v>
      </c>
      <c r="B35" s="37" t="s">
        <v>48</v>
      </c>
      <c r="C35" s="8">
        <v>704</v>
      </c>
      <c r="D35" s="8">
        <v>86.7</v>
      </c>
      <c r="E35" s="8">
        <v>617.29999999999995</v>
      </c>
      <c r="F35" s="8">
        <v>40</v>
      </c>
      <c r="G35" s="6">
        <f>(F35/$B$4)</f>
        <v>5.3763440860215055E-2</v>
      </c>
      <c r="H35" s="8">
        <v>0</v>
      </c>
      <c r="I35" s="6">
        <f>(H35/$B$4)</f>
        <v>0</v>
      </c>
      <c r="J35" s="6">
        <v>0</v>
      </c>
      <c r="K35" s="6">
        <f>(J35/$B$4)</f>
        <v>0</v>
      </c>
      <c r="L35" s="8">
        <v>0</v>
      </c>
      <c r="M35" s="69">
        <f>(C35/$B$4)</f>
        <v>0.94623655913978499</v>
      </c>
      <c r="N35" s="69">
        <f>((C35-L35)/$B$4)</f>
        <v>0.94623655913978499</v>
      </c>
      <c r="O35" s="69">
        <f>IF((AND(D35=0,F35=0)),0,(F35+L35)/(D35+F35+L35))</f>
        <v>0.31570639305445936</v>
      </c>
      <c r="P35" s="149">
        <f>L35/$B$4</f>
        <v>0</v>
      </c>
      <c r="Q35" s="69">
        <f>(T35/($B$4*U35))</f>
        <v>9.9014336917562729E-2</v>
      </c>
      <c r="R35" s="15">
        <v>1</v>
      </c>
      <c r="S35" s="6">
        <f t="shared" ref="S35:S36" si="496">SUM(D35:F35,H35,J35)</f>
        <v>744</v>
      </c>
      <c r="T35" s="19">
        <v>1547</v>
      </c>
      <c r="U35" s="8">
        <v>21</v>
      </c>
      <c r="W35" s="16" t="s">
        <v>41</v>
      </c>
      <c r="X35" s="37" t="s">
        <v>48</v>
      </c>
      <c r="Y35" s="8">
        <v>744</v>
      </c>
      <c r="Z35" s="8">
        <v>199.5</v>
      </c>
      <c r="AA35" s="8">
        <v>544.5</v>
      </c>
      <c r="AB35" s="8">
        <v>0</v>
      </c>
      <c r="AC35" s="6">
        <f t="shared" ref="AC35:AC36" si="497">(AB35/$X$4)</f>
        <v>0</v>
      </c>
      <c r="AD35" s="8">
        <v>0</v>
      </c>
      <c r="AE35" s="6">
        <f t="shared" ref="AE35:AG36" si="498">(AD35/$X$4)</f>
        <v>0</v>
      </c>
      <c r="AF35" s="6">
        <v>0</v>
      </c>
      <c r="AG35" s="6">
        <f t="shared" si="498"/>
        <v>0</v>
      </c>
      <c r="AH35" s="8">
        <v>0</v>
      </c>
      <c r="AI35" s="69">
        <f t="shared" ref="AI35:AI36" si="499">(Y35/$X$4)</f>
        <v>1</v>
      </c>
      <c r="AJ35" s="69">
        <f t="shared" ref="AJ35:AJ36" si="500">((Y35-AH35)/$X$4)</f>
        <v>1</v>
      </c>
      <c r="AK35" s="69">
        <f t="shared" ref="AK35:AK36" si="501">IF((AND(Z35=0,AB35=0)),0,(AB35+AH35)/(Z35+AB35+AH35))</f>
        <v>0</v>
      </c>
      <c r="AL35" s="149">
        <f t="shared" ref="AL35:AL36" si="502">AH35/$X$4</f>
        <v>0</v>
      </c>
      <c r="AM35" s="69">
        <f t="shared" ref="AM35:AM36" si="503">(AP35/($X$4*AQ35))</f>
        <v>0.22875064004096263</v>
      </c>
      <c r="AN35" s="15">
        <v>0</v>
      </c>
      <c r="AO35" s="6">
        <f t="shared" ref="AO35:AO36" si="504">SUM(Z35:AB35,AD35,AF35)</f>
        <v>744</v>
      </c>
      <c r="AP35" s="19">
        <v>3574</v>
      </c>
      <c r="AQ35" s="8">
        <v>21</v>
      </c>
      <c r="AS35" s="16" t="s">
        <v>41</v>
      </c>
      <c r="AT35" s="37" t="s">
        <v>48</v>
      </c>
      <c r="AU35" s="8">
        <v>720</v>
      </c>
      <c r="AV35" s="8">
        <v>236.8</v>
      </c>
      <c r="AW35" s="8">
        <v>483.2</v>
      </c>
      <c r="AX35" s="8">
        <v>0</v>
      </c>
      <c r="AY35" s="6">
        <f t="shared" ref="AY35:BA36" si="505">(AX35/$AT$4)</f>
        <v>0</v>
      </c>
      <c r="AZ35" s="8">
        <v>0</v>
      </c>
      <c r="BA35" s="6">
        <f t="shared" si="505"/>
        <v>0</v>
      </c>
      <c r="BB35" s="8">
        <v>0</v>
      </c>
      <c r="BC35" s="6">
        <f t="shared" ref="BC35" si="506">(BB35/$AT$4)</f>
        <v>0</v>
      </c>
      <c r="BD35" s="8">
        <v>0</v>
      </c>
      <c r="BE35" s="69">
        <f t="shared" ref="BE35:BE36" si="507">(AU35/$AT$4)</f>
        <v>1</v>
      </c>
      <c r="BF35" s="69">
        <f t="shared" ref="BF35:BF36" si="508">((AU35-BD35)/$AT$4)</f>
        <v>1</v>
      </c>
      <c r="BG35" s="69">
        <f t="shared" ref="BG35:BG36" si="509">IF((AND(AV35=0,AX35=0)),0,(AX35+BD35)/(AV35+AX35+BD35))</f>
        <v>0</v>
      </c>
      <c r="BH35" s="149">
        <f t="shared" ref="BH35:BH36" si="510">BD35/$AT$4</f>
        <v>0</v>
      </c>
      <c r="BI35" s="69">
        <f t="shared" ref="BI35:BI36" si="511">(BL35/($AT$4*BM35))</f>
        <v>0.2812169312169312</v>
      </c>
      <c r="BJ35" s="6"/>
      <c r="BK35" s="6">
        <f t="shared" ref="BK35:BK36" si="512">SUM(AV35:AX35,AZ35,BB35)</f>
        <v>720</v>
      </c>
      <c r="BL35" s="8">
        <v>4252</v>
      </c>
      <c r="BM35" s="8">
        <v>21</v>
      </c>
      <c r="BO35" s="16" t="s">
        <v>41</v>
      </c>
      <c r="BP35" s="37" t="s">
        <v>48</v>
      </c>
      <c r="BQ35" s="8">
        <v>744</v>
      </c>
      <c r="BR35" s="8">
        <v>235.1</v>
      </c>
      <c r="BS35" s="8">
        <v>508.9</v>
      </c>
      <c r="BT35" s="8">
        <v>0</v>
      </c>
      <c r="BU35" s="6">
        <f t="shared" ref="BU35:BU36" si="513">(BT35/$BP$4)</f>
        <v>0</v>
      </c>
      <c r="BV35" s="8">
        <v>0</v>
      </c>
      <c r="BW35" s="6">
        <f t="shared" ref="BW35" si="514">(BV35/$BP$4)</f>
        <v>0</v>
      </c>
      <c r="BX35" s="8">
        <v>0</v>
      </c>
      <c r="BY35" s="6">
        <f t="shared" ref="BY35" si="515">(BX35/$BP$4)</f>
        <v>0</v>
      </c>
      <c r="BZ35" s="8">
        <v>0</v>
      </c>
      <c r="CA35" s="69">
        <f t="shared" ref="CA35:CA36" si="516">(BQ35/$BP$4)</f>
        <v>1</v>
      </c>
      <c r="CB35" s="69">
        <f t="shared" ref="CB35:CB36" si="517">((BQ35-BZ35)/$BP$4)</f>
        <v>1</v>
      </c>
      <c r="CC35" s="149">
        <f t="shared" ref="CC35:CC36" si="518">IF((AND(BR35=0,BT35=0)),0,(BT35+BZ35)/(BR35+BT35+BZ35))</f>
        <v>0</v>
      </c>
      <c r="CD35" s="149">
        <f t="shared" ref="CD35:CD36" si="519">BZ35/$BP$4</f>
        <v>0</v>
      </c>
      <c r="CE35" s="69">
        <f t="shared" ref="CE35:CE36" si="520">(CH35/($BP$4*CI35))</f>
        <v>0.26920122887864822</v>
      </c>
      <c r="CF35" s="69"/>
      <c r="CG35" s="42">
        <f t="shared" ref="CG35:CG36" si="521">SUM(BR35:BT35,BV35,BX35)</f>
        <v>744</v>
      </c>
      <c r="CH35" s="19">
        <v>4206</v>
      </c>
      <c r="CI35" s="8">
        <v>21</v>
      </c>
      <c r="CK35" s="16" t="s">
        <v>41</v>
      </c>
      <c r="CL35" s="37" t="s">
        <v>48</v>
      </c>
      <c r="CM35" s="8">
        <v>720</v>
      </c>
      <c r="CN35" s="8">
        <v>69.7</v>
      </c>
      <c r="CO35" s="8">
        <v>650.29999999999995</v>
      </c>
      <c r="CP35" s="8">
        <v>0</v>
      </c>
      <c r="CQ35" s="6">
        <f t="shared" ref="CQ35:CS36" si="522">(CP35/$CL$4)</f>
        <v>0</v>
      </c>
      <c r="CR35" s="8">
        <v>0</v>
      </c>
      <c r="CS35" s="6">
        <f t="shared" si="522"/>
        <v>0</v>
      </c>
      <c r="CT35" s="8">
        <v>0</v>
      </c>
      <c r="CU35" s="6">
        <f t="shared" ref="CU35" si="523">(CT35/$CL$4)</f>
        <v>0</v>
      </c>
      <c r="CV35" s="8">
        <v>0</v>
      </c>
      <c r="CW35" s="69">
        <f t="shared" ref="CW35:CW36" si="524">(CM35/$CL$4)</f>
        <v>1</v>
      </c>
      <c r="CX35" s="69">
        <f t="shared" ref="CX35:CX36" si="525">((CM35-CV35)/$CL$4)</f>
        <v>1</v>
      </c>
      <c r="CY35" s="149">
        <f t="shared" ref="CY35:CY36" si="526">IF((AND(CN35=0,CP35=0)),0,(CP35+CV35)/(CN35+CP35+CV35))</f>
        <v>0</v>
      </c>
      <c r="CZ35" s="149">
        <f t="shared" ref="CZ35:CZ36" si="527">CV35/$CL$4</f>
        <v>0</v>
      </c>
      <c r="DA35" s="69">
        <f t="shared" ref="DA35:DA36" si="528">(DD35/($CL$4*DE35))</f>
        <v>8.1283068783068776E-2</v>
      </c>
      <c r="DB35" s="6"/>
      <c r="DC35" s="6">
        <f t="shared" ref="DC35:DC36" si="529">SUM(CN35:CP35,CR35,CT35)</f>
        <v>720</v>
      </c>
      <c r="DD35" s="19">
        <v>1229</v>
      </c>
      <c r="DE35" s="8">
        <v>21</v>
      </c>
      <c r="DG35" s="16" t="s">
        <v>41</v>
      </c>
      <c r="DH35" s="37" t="s">
        <v>48</v>
      </c>
      <c r="DI35" s="8">
        <v>744</v>
      </c>
      <c r="DJ35" s="8">
        <v>105.8</v>
      </c>
      <c r="DK35" s="8">
        <v>638.20000000000005</v>
      </c>
      <c r="DL35" s="8">
        <v>0</v>
      </c>
      <c r="DM35" s="69">
        <f t="shared" ref="DM35:DM36" si="530">(DL35/$DH$4)</f>
        <v>0</v>
      </c>
      <c r="DN35" s="8">
        <v>0</v>
      </c>
      <c r="DO35" s="69">
        <f t="shared" ref="DO35:DO36" si="531">(DN35/$DH$4)</f>
        <v>0</v>
      </c>
      <c r="DP35" s="6">
        <v>0</v>
      </c>
      <c r="DQ35" s="69">
        <f t="shared" ref="DQ35:DQ36" si="532">(DP35/$DH$4)</f>
        <v>0</v>
      </c>
      <c r="DR35" s="8">
        <v>0</v>
      </c>
      <c r="DS35" s="69">
        <f t="shared" ref="DS35:DS36" si="533">(DI35/$X$4)</f>
        <v>1</v>
      </c>
      <c r="DT35" s="69">
        <f t="shared" ref="DT35:DT36" si="534">((DI35-DR35)/$DH$4)</f>
        <v>1</v>
      </c>
      <c r="DU35" s="149">
        <f t="shared" ref="DU35:DU36" si="535">IF((AND(DJ35=0,DL35=0)),0,(DL35+DR35)/(DJ35+DL35+DR35))</f>
        <v>0</v>
      </c>
      <c r="DV35" s="149">
        <f t="shared" ref="DV35:DV36" si="536">DR35/$DH$4</f>
        <v>0</v>
      </c>
      <c r="DW35" s="69">
        <f t="shared" ref="DW35:DW36" si="537">(DZ35/($DH$4*EA35))</f>
        <v>0.11981566820276497</v>
      </c>
      <c r="DX35" s="69"/>
      <c r="DY35" s="15">
        <f t="shared" ref="DY35:DY36" si="538">SUM(DJ35:DL35,DN35,DP35)</f>
        <v>744</v>
      </c>
      <c r="DZ35" s="38">
        <v>1872</v>
      </c>
      <c r="EA35" s="8">
        <v>21</v>
      </c>
      <c r="EC35" s="16" t="s">
        <v>41</v>
      </c>
      <c r="ED35" s="37" t="s">
        <v>48</v>
      </c>
      <c r="EE35" s="8">
        <v>732</v>
      </c>
      <c r="EF35" s="8">
        <v>137</v>
      </c>
      <c r="EG35" s="8">
        <v>595</v>
      </c>
      <c r="EH35" s="8">
        <v>12</v>
      </c>
      <c r="EI35" s="6">
        <f t="shared" ref="EI35:EI36" si="539">(EH35/$ED$4)</f>
        <v>1.6129032258064516E-2</v>
      </c>
      <c r="EJ35" s="8">
        <v>0</v>
      </c>
      <c r="EK35" s="6">
        <f t="shared" ref="EK35:EK36" si="540">(EJ35/$ED$4)</f>
        <v>0</v>
      </c>
      <c r="EL35" s="6">
        <v>0</v>
      </c>
      <c r="EM35" s="6">
        <f t="shared" ref="EM35:EM36" si="541">(EL35/$ED$4)</f>
        <v>0</v>
      </c>
      <c r="EN35" s="8">
        <v>0</v>
      </c>
      <c r="EO35" s="69">
        <f t="shared" ref="EO35:EO36" si="542">(EE35/$X$4)</f>
        <v>0.9838709677419355</v>
      </c>
      <c r="EP35" s="69">
        <f t="shared" ref="EP35:EP36" si="543">((EE35-EN35)/$ED$4)</f>
        <v>0.9838709677419355</v>
      </c>
      <c r="EQ35" s="149">
        <f t="shared" ref="EQ35:EQ36" si="544">IF((AND(EF35=0,EH35=0)),0,(EH35+EN35)/(EF35+EH35+EN35))</f>
        <v>8.0536912751677847E-2</v>
      </c>
      <c r="ER35" s="149">
        <f t="shared" ref="ER35:ER36" si="545">EN35/$ED$4</f>
        <v>0</v>
      </c>
      <c r="ES35" s="69">
        <f t="shared" ref="ES35:ES36" si="546">(EV35/($ED$4*EW35))</f>
        <v>0.16199436763952893</v>
      </c>
      <c r="ET35" s="6"/>
      <c r="EU35" s="6">
        <f t="shared" ref="EU35:EU36" si="547">SUM(EF35:EH35,EJ35,EL35)</f>
        <v>744</v>
      </c>
      <c r="EV35" s="19">
        <v>2531</v>
      </c>
      <c r="EW35" s="8">
        <v>21</v>
      </c>
      <c r="EY35" s="16" t="s">
        <v>41</v>
      </c>
      <c r="EZ35" s="37" t="s">
        <v>48</v>
      </c>
      <c r="FA35" s="8">
        <v>672</v>
      </c>
      <c r="FB35" s="8">
        <v>116.3</v>
      </c>
      <c r="FC35" s="8">
        <v>555.70000000000005</v>
      </c>
      <c r="FD35" s="8">
        <v>0</v>
      </c>
      <c r="FE35" s="6">
        <f t="shared" ref="FE35:FE36" si="548">(FD35/$EZ$4)</f>
        <v>0</v>
      </c>
      <c r="FF35" s="8">
        <v>0</v>
      </c>
      <c r="FG35" s="6">
        <f t="shared" ref="FG35:FG36" si="549">(FF35/$EZ$4)</f>
        <v>0</v>
      </c>
      <c r="FH35" s="6">
        <v>0</v>
      </c>
      <c r="FI35" s="6">
        <f t="shared" ref="FI35:FI36" si="550">(FH35/$EZ$4)</f>
        <v>0</v>
      </c>
      <c r="FJ35" s="8">
        <v>0</v>
      </c>
      <c r="FK35" s="69">
        <f t="shared" ref="FK35:FK36" si="551">(FA35/$X$4)</f>
        <v>0.90322580645161288</v>
      </c>
      <c r="FL35" s="69">
        <f t="shared" ref="FL35:FL36" si="552">((FA35-FJ35)/$EZ$4)</f>
        <v>1</v>
      </c>
      <c r="FM35" s="149">
        <f t="shared" ref="FM35:FM36" si="553">IF((AND(FB35=0,FD35=0)),0,(FD35+FJ35)/(FB35+FD35+FJ35))</f>
        <v>0</v>
      </c>
      <c r="FN35" s="149">
        <f t="shared" ref="FN35:FN36" si="554">FJ35/$EZ$4</f>
        <v>0</v>
      </c>
      <c r="FO35" s="69">
        <f t="shared" ref="FO35:FO36" si="555">(FR35/($EZ$4*FS35))</f>
        <v>0.15143140589569162</v>
      </c>
      <c r="FP35" s="6"/>
      <c r="FQ35" s="6">
        <f t="shared" ref="FQ35:FQ36" si="556">SUM(FB35:FD35,FF35,FH35)</f>
        <v>672</v>
      </c>
      <c r="FR35" s="19">
        <v>2137</v>
      </c>
      <c r="FS35" s="8">
        <v>21</v>
      </c>
      <c r="FU35" s="16" t="s">
        <v>41</v>
      </c>
      <c r="FV35" s="37" t="s">
        <v>48</v>
      </c>
      <c r="FW35" s="8">
        <v>744</v>
      </c>
      <c r="FX35" s="8">
        <v>286.10000000000002</v>
      </c>
      <c r="FY35" s="8">
        <v>457.9</v>
      </c>
      <c r="FZ35" s="8">
        <v>0</v>
      </c>
      <c r="GA35" s="69">
        <f t="shared" ref="GA35:GA36" si="557">(FZ35/$FV$4)</f>
        <v>0</v>
      </c>
      <c r="GB35" s="8">
        <v>0</v>
      </c>
      <c r="GC35" s="69">
        <f t="shared" ref="GC35:GC36" si="558">(GB35/$FV$4)</f>
        <v>0</v>
      </c>
      <c r="GD35" s="6">
        <v>0</v>
      </c>
      <c r="GE35" s="6">
        <f t="shared" ref="GE35:GE36" si="559">(GD35/$FV$4)</f>
        <v>0</v>
      </c>
      <c r="GF35" s="8">
        <v>0</v>
      </c>
      <c r="GG35" s="69">
        <f t="shared" ref="GG35:GG36" si="560">(FW35/$X$4)</f>
        <v>1</v>
      </c>
      <c r="GH35" s="69">
        <f t="shared" ref="GH35:GH36" si="561">((FW35-GF35)/$FV$4)</f>
        <v>1</v>
      </c>
      <c r="GI35" s="149">
        <f t="shared" ref="GI35:GI36" si="562">IF((AND(FX35=0,FZ35=0)),0,(FZ35+GF35)/(FX35+FZ35+GF35))</f>
        <v>0</v>
      </c>
      <c r="GJ35" s="149">
        <f t="shared" ref="GJ35:GJ36" si="563">GF35/$FV$4</f>
        <v>0</v>
      </c>
      <c r="GK35" s="69">
        <f t="shared" ref="GK35:GK36" si="564">(GN35/($FV$4*GO35))</f>
        <v>0.35170250896057348</v>
      </c>
      <c r="GL35" s="69"/>
      <c r="GM35" s="6">
        <f t="shared" ref="GM35:GM36" si="565">SUM(FX35:FZ35,GB35,GD35)</f>
        <v>744</v>
      </c>
      <c r="GN35" s="19">
        <v>5495</v>
      </c>
      <c r="GO35" s="8">
        <v>21</v>
      </c>
      <c r="GQ35" s="16" t="s">
        <v>41</v>
      </c>
      <c r="GR35" s="37" t="s">
        <v>48</v>
      </c>
      <c r="GS35" s="8">
        <v>720</v>
      </c>
      <c r="GT35" s="8">
        <v>405</v>
      </c>
      <c r="GU35" s="8">
        <v>315</v>
      </c>
      <c r="GV35" s="8">
        <v>0</v>
      </c>
      <c r="GW35" s="6">
        <f t="shared" ref="GW35:GW36" si="566">(GV35/$GR$4)</f>
        <v>0</v>
      </c>
      <c r="GX35" s="8">
        <v>0</v>
      </c>
      <c r="GY35" s="8">
        <f>(GX35/$GR$4)</f>
        <v>0</v>
      </c>
      <c r="GZ35" s="8">
        <v>0</v>
      </c>
      <c r="HA35" s="6">
        <f t="shared" ref="HA35:HA36" si="567">(GZ35/$GR$4)</f>
        <v>0</v>
      </c>
      <c r="HB35" s="8">
        <v>0</v>
      </c>
      <c r="HC35" s="69">
        <f t="shared" ref="HC35:HC36" si="568">(GS35/$X$4)</f>
        <v>0.967741935483871</v>
      </c>
      <c r="HD35" s="69">
        <f>((GS35-HB35)/$GR$4)</f>
        <v>1</v>
      </c>
      <c r="HE35" s="149">
        <f t="shared" ref="HE35:HE36" si="569">IF((AND(GT35=0,GV35=0)),0,(GV35+HB35)/(GT35+GV35+HB35))</f>
        <v>0</v>
      </c>
      <c r="HF35" s="149">
        <f>HB35/$GR$4</f>
        <v>0</v>
      </c>
      <c r="HG35" s="69">
        <f t="shared" ref="HG35:HG36" si="570">(HJ35/($GR$4*HK35))</f>
        <v>0.51547619047619042</v>
      </c>
      <c r="HH35" s="15">
        <v>0</v>
      </c>
      <c r="HI35" s="6">
        <f t="shared" ref="HI35:HI36" si="571">SUM(GT35:GV35,GX35,GZ35)</f>
        <v>720</v>
      </c>
      <c r="HJ35" s="19">
        <v>7794</v>
      </c>
      <c r="HK35" s="8">
        <v>21</v>
      </c>
      <c r="HM35" s="16" t="s">
        <v>41</v>
      </c>
      <c r="HN35" s="37" t="s">
        <v>48</v>
      </c>
      <c r="HO35" s="8">
        <v>744</v>
      </c>
      <c r="HP35" s="8">
        <v>168.8</v>
      </c>
      <c r="HQ35" s="8">
        <v>575.20000000000005</v>
      </c>
      <c r="HR35" s="8">
        <v>0</v>
      </c>
      <c r="HS35" s="6">
        <f t="shared" ref="HS35:HS36" si="572">(HR35/$HN$4)</f>
        <v>0</v>
      </c>
      <c r="HT35" s="8">
        <v>0</v>
      </c>
      <c r="HU35" s="6">
        <f t="shared" ref="HU35:HU36" si="573">(HT35/$HN$4)</f>
        <v>0</v>
      </c>
      <c r="HV35" s="8">
        <v>0</v>
      </c>
      <c r="HW35" s="6">
        <f>(HV35/$HN$4)</f>
        <v>0</v>
      </c>
      <c r="HX35" s="8">
        <v>0</v>
      </c>
      <c r="HY35" s="69">
        <f t="shared" ref="HY35:HY36" si="574">(HO35/$HN$4)</f>
        <v>1</v>
      </c>
      <c r="HZ35" s="69">
        <f t="shared" ref="HZ35:HZ36" si="575">((HO35-HX35)/$HN$4)</f>
        <v>1</v>
      </c>
      <c r="IA35" s="69">
        <f t="shared" ref="IA35:IA36" si="576">IF((AND(HP35=0,HR35=0)),0,(HR35+HX35)/(HP35+HR35))</f>
        <v>0</v>
      </c>
      <c r="IB35" s="149">
        <f t="shared" ref="IB35:IB36" si="577">HX35/$HN$4</f>
        <v>0</v>
      </c>
      <c r="IC35" s="69">
        <f t="shared" ref="IC35:IC36" si="578">(IF35/($HN$4*IG35))</f>
        <v>0.20602918586789554</v>
      </c>
      <c r="ID35" s="15">
        <v>0</v>
      </c>
      <c r="IE35" s="6">
        <f t="shared" ref="IE35:IE36" si="579">SUM(HP35:HR35,HT35,HV35)</f>
        <v>744</v>
      </c>
      <c r="IF35" s="19">
        <v>3219</v>
      </c>
      <c r="IG35" s="8">
        <v>21</v>
      </c>
      <c r="II35" s="16" t="s">
        <v>41</v>
      </c>
      <c r="IJ35" s="37" t="s">
        <v>48</v>
      </c>
      <c r="IK35" s="53">
        <v>720</v>
      </c>
      <c r="IL35" s="53">
        <v>197.09999999999991</v>
      </c>
      <c r="IM35" s="53">
        <v>522.90000000000009</v>
      </c>
      <c r="IN35" s="53">
        <v>0</v>
      </c>
      <c r="IO35" s="69">
        <f t="shared" ref="IO35:IO36" si="580">(IN35/$IJ$4)</f>
        <v>0</v>
      </c>
      <c r="IP35" s="53">
        <v>0</v>
      </c>
      <c r="IQ35" s="69">
        <f>(IP35/$IJ$4)</f>
        <v>0</v>
      </c>
      <c r="IR35" s="53">
        <v>0</v>
      </c>
      <c r="IS35" s="69">
        <f t="shared" ref="IS35:IS36" si="581">(IR35/$IJ$4)</f>
        <v>0</v>
      </c>
      <c r="IT35" s="53">
        <v>0</v>
      </c>
      <c r="IU35" s="69">
        <f t="shared" ref="IU35:IU36" si="582">(IK35/$IJ$4)</f>
        <v>1</v>
      </c>
      <c r="IV35" s="164">
        <f t="shared" ref="IV35:IV36" si="583">((IK35-IT35)/$IJ$4)</f>
        <v>1</v>
      </c>
      <c r="IW35" s="164">
        <f t="shared" ref="IW35:IW36" si="584">IF((AND(IL35=0,IN35=0)),0,(IN35+IT35)/(IL35+IN35+IT35))</f>
        <v>0</v>
      </c>
      <c r="IX35" s="149">
        <f t="shared" ref="IX35:IX36" si="585">IT35/$IJ$4</f>
        <v>0</v>
      </c>
      <c r="IY35" s="69">
        <f>(JB35/($IJ$4*JC35))</f>
        <v>0.23538359788359789</v>
      </c>
      <c r="IZ35" s="15">
        <v>0</v>
      </c>
      <c r="JA35" s="15">
        <f t="shared" ref="JA35:JA36" si="586">SUM(IL35:IN35,IP35,IR35)</f>
        <v>720</v>
      </c>
      <c r="JB35" s="168">
        <v>3559</v>
      </c>
      <c r="JC35" s="8">
        <v>21</v>
      </c>
    </row>
    <row r="36" spans="1:263" ht="14.25" x14ac:dyDescent="0.25">
      <c r="B36" s="37" t="s">
        <v>52</v>
      </c>
      <c r="C36" s="8">
        <v>744</v>
      </c>
      <c r="D36" s="8">
        <v>92.4</v>
      </c>
      <c r="E36" s="8">
        <v>651.6</v>
      </c>
      <c r="F36" s="8">
        <v>0</v>
      </c>
      <c r="G36" s="6">
        <f>(F36/$B$4)</f>
        <v>0</v>
      </c>
      <c r="H36" s="8">
        <v>0</v>
      </c>
      <c r="I36" s="6">
        <f>(H36/$B$4)</f>
        <v>0</v>
      </c>
      <c r="J36" s="6">
        <v>0</v>
      </c>
      <c r="K36" s="6">
        <f>(J36/$B$4)</f>
        <v>0</v>
      </c>
      <c r="L36" s="8">
        <v>0</v>
      </c>
      <c r="M36" s="69">
        <f>(C36/$B$4)</f>
        <v>1</v>
      </c>
      <c r="N36" s="69">
        <f>((C36-L36)/$B$4)</f>
        <v>1</v>
      </c>
      <c r="O36" s="69">
        <f>IF((AND(D36=0,F36=0)),0,(F36+L36)/(D36+F36+L36))</f>
        <v>0</v>
      </c>
      <c r="P36" s="149">
        <f>L36/$B$4</f>
        <v>0</v>
      </c>
      <c r="Q36" s="69">
        <f>(T36/($B$4*U36))</f>
        <v>0.1057347670250896</v>
      </c>
      <c r="R36" s="15">
        <v>0</v>
      </c>
      <c r="S36" s="6">
        <f t="shared" si="496"/>
        <v>744</v>
      </c>
      <c r="T36" s="19">
        <v>1652</v>
      </c>
      <c r="U36" s="8">
        <v>21</v>
      </c>
      <c r="X36" s="37" t="s">
        <v>52</v>
      </c>
      <c r="Y36" s="8">
        <v>744</v>
      </c>
      <c r="Z36" s="8">
        <v>145.1</v>
      </c>
      <c r="AA36" s="8">
        <v>598.9</v>
      </c>
      <c r="AB36" s="8">
        <v>0</v>
      </c>
      <c r="AC36" s="6">
        <f t="shared" si="497"/>
        <v>0</v>
      </c>
      <c r="AD36" s="8">
        <v>0</v>
      </c>
      <c r="AE36" s="6">
        <f t="shared" si="498"/>
        <v>0</v>
      </c>
      <c r="AF36" s="6">
        <v>0</v>
      </c>
      <c r="AG36" s="6">
        <f t="shared" si="498"/>
        <v>0</v>
      </c>
      <c r="AH36" s="8">
        <v>0</v>
      </c>
      <c r="AI36" s="69">
        <f t="shared" si="499"/>
        <v>1</v>
      </c>
      <c r="AJ36" s="69">
        <f t="shared" si="500"/>
        <v>1</v>
      </c>
      <c r="AK36" s="69">
        <f t="shared" si="501"/>
        <v>0</v>
      </c>
      <c r="AL36" s="149">
        <f t="shared" si="502"/>
        <v>0</v>
      </c>
      <c r="AM36" s="69">
        <f t="shared" si="503"/>
        <v>0.22791858678955454</v>
      </c>
      <c r="AN36" s="15">
        <v>0</v>
      </c>
      <c r="AO36" s="6">
        <f t="shared" si="504"/>
        <v>744</v>
      </c>
      <c r="AP36" s="19">
        <v>3561</v>
      </c>
      <c r="AQ36" s="8">
        <v>21</v>
      </c>
      <c r="AT36" s="37" t="s">
        <v>52</v>
      </c>
      <c r="AU36" s="8">
        <v>720</v>
      </c>
      <c r="AV36" s="8">
        <v>373.1</v>
      </c>
      <c r="AW36" s="8">
        <v>346.9</v>
      </c>
      <c r="AX36" s="8">
        <v>0</v>
      </c>
      <c r="AY36" s="6">
        <f t="shared" si="505"/>
        <v>0</v>
      </c>
      <c r="AZ36" s="8">
        <v>0</v>
      </c>
      <c r="BA36" s="6">
        <f t="shared" si="505"/>
        <v>0</v>
      </c>
      <c r="BB36" s="8">
        <v>0</v>
      </c>
      <c r="BC36" s="6">
        <f t="shared" ref="BC36" si="587">(BB36/$AT$4)</f>
        <v>0</v>
      </c>
      <c r="BD36" s="8">
        <v>0</v>
      </c>
      <c r="BE36" s="69">
        <f t="shared" si="507"/>
        <v>1</v>
      </c>
      <c r="BF36" s="69">
        <f t="shared" si="508"/>
        <v>1</v>
      </c>
      <c r="BG36" s="69">
        <f t="shared" si="509"/>
        <v>0</v>
      </c>
      <c r="BH36" s="149">
        <f t="shared" si="510"/>
        <v>0</v>
      </c>
      <c r="BI36" s="69">
        <f t="shared" si="511"/>
        <v>0.27407407407407408</v>
      </c>
      <c r="BJ36" s="6"/>
      <c r="BK36" s="6">
        <f t="shared" si="512"/>
        <v>720</v>
      </c>
      <c r="BL36" s="8">
        <v>4144</v>
      </c>
      <c r="BM36" s="8">
        <v>21</v>
      </c>
      <c r="BP36" s="37" t="s">
        <v>52</v>
      </c>
      <c r="BQ36" s="8">
        <v>744</v>
      </c>
      <c r="BR36" s="8">
        <v>250.3</v>
      </c>
      <c r="BS36" s="8">
        <v>493.7</v>
      </c>
      <c r="BT36" s="8">
        <v>0</v>
      </c>
      <c r="BU36" s="6">
        <f t="shared" si="513"/>
        <v>0</v>
      </c>
      <c r="BV36" s="8">
        <v>0</v>
      </c>
      <c r="BW36" s="6">
        <f t="shared" ref="BW36" si="588">(BV36/$BP$4)</f>
        <v>0</v>
      </c>
      <c r="BX36" s="8">
        <v>0</v>
      </c>
      <c r="BY36" s="6">
        <f t="shared" ref="BY36" si="589">(BX36/$BP$4)</f>
        <v>0</v>
      </c>
      <c r="BZ36" s="8">
        <v>0</v>
      </c>
      <c r="CA36" s="69">
        <f t="shared" si="516"/>
        <v>1</v>
      </c>
      <c r="CB36" s="69">
        <f t="shared" si="517"/>
        <v>1</v>
      </c>
      <c r="CC36" s="149">
        <f t="shared" si="518"/>
        <v>0</v>
      </c>
      <c r="CD36" s="149">
        <f t="shared" si="519"/>
        <v>0</v>
      </c>
      <c r="CE36" s="69">
        <f t="shared" si="520"/>
        <v>0.28686635944700462</v>
      </c>
      <c r="CF36" s="69"/>
      <c r="CG36" s="42">
        <f t="shared" si="521"/>
        <v>744</v>
      </c>
      <c r="CH36" s="19">
        <v>4482</v>
      </c>
      <c r="CI36" s="8">
        <v>21</v>
      </c>
      <c r="CL36" s="37" t="s">
        <v>52</v>
      </c>
      <c r="CM36" s="8">
        <v>699</v>
      </c>
      <c r="CN36" s="8">
        <v>69</v>
      </c>
      <c r="CO36" s="8">
        <v>630</v>
      </c>
      <c r="CP36" s="8">
        <v>21</v>
      </c>
      <c r="CQ36" s="6">
        <f t="shared" si="522"/>
        <v>2.9166666666666667E-2</v>
      </c>
      <c r="CR36" s="8">
        <v>0</v>
      </c>
      <c r="CS36" s="6">
        <f t="shared" si="522"/>
        <v>0</v>
      </c>
      <c r="CT36" s="8">
        <v>0</v>
      </c>
      <c r="CU36" s="6">
        <f t="shared" ref="CU36" si="590">(CT36/$CL$4)</f>
        <v>0</v>
      </c>
      <c r="CV36" s="8">
        <v>0</v>
      </c>
      <c r="CW36" s="69">
        <f t="shared" si="524"/>
        <v>0.97083333333333333</v>
      </c>
      <c r="CX36" s="69">
        <f t="shared" si="525"/>
        <v>0.97083333333333333</v>
      </c>
      <c r="CY36" s="149">
        <f t="shared" si="526"/>
        <v>0.23333333333333334</v>
      </c>
      <c r="CZ36" s="149">
        <f t="shared" si="527"/>
        <v>0</v>
      </c>
      <c r="DA36" s="69">
        <f t="shared" si="528"/>
        <v>8.0753968253968259E-2</v>
      </c>
      <c r="DB36" s="6"/>
      <c r="DC36" s="6">
        <f t="shared" si="529"/>
        <v>720</v>
      </c>
      <c r="DD36" s="19">
        <v>1221</v>
      </c>
      <c r="DE36" s="8">
        <v>21</v>
      </c>
      <c r="DH36" s="37" t="s">
        <v>52</v>
      </c>
      <c r="DI36" s="8">
        <v>723</v>
      </c>
      <c r="DJ36" s="8">
        <v>106.7</v>
      </c>
      <c r="DK36" s="8">
        <v>616.29999999999995</v>
      </c>
      <c r="DL36" s="8">
        <v>21</v>
      </c>
      <c r="DM36" s="69">
        <f t="shared" si="530"/>
        <v>2.8225806451612902E-2</v>
      </c>
      <c r="DN36" s="8">
        <v>0</v>
      </c>
      <c r="DO36" s="69">
        <f t="shared" si="531"/>
        <v>0</v>
      </c>
      <c r="DP36" s="6">
        <v>0</v>
      </c>
      <c r="DQ36" s="69">
        <f t="shared" si="532"/>
        <v>0</v>
      </c>
      <c r="DR36" s="8">
        <v>0</v>
      </c>
      <c r="DS36" s="69">
        <f t="shared" si="533"/>
        <v>0.97177419354838712</v>
      </c>
      <c r="DT36" s="69">
        <f t="shared" si="534"/>
        <v>0.97177419354838712</v>
      </c>
      <c r="DU36" s="149">
        <f t="shared" si="535"/>
        <v>0.1644479248238058</v>
      </c>
      <c r="DV36" s="149">
        <f t="shared" si="536"/>
        <v>0</v>
      </c>
      <c r="DW36" s="69">
        <f t="shared" si="537"/>
        <v>0.1246799795186892</v>
      </c>
      <c r="DX36" s="69"/>
      <c r="DY36" s="15">
        <f t="shared" si="538"/>
        <v>744</v>
      </c>
      <c r="DZ36" s="38">
        <v>1948</v>
      </c>
      <c r="EA36" s="8">
        <v>21</v>
      </c>
      <c r="ED36" s="37" t="s">
        <v>52</v>
      </c>
      <c r="EE36" s="8">
        <v>504</v>
      </c>
      <c r="EF36" s="8">
        <v>97.4</v>
      </c>
      <c r="EG36" s="8">
        <v>406.6</v>
      </c>
      <c r="EH36" s="8">
        <v>240</v>
      </c>
      <c r="EI36" s="6">
        <f t="shared" si="539"/>
        <v>0.32258064516129031</v>
      </c>
      <c r="EJ36" s="8">
        <v>0</v>
      </c>
      <c r="EK36" s="6">
        <f t="shared" si="540"/>
        <v>0</v>
      </c>
      <c r="EL36" s="6">
        <v>0</v>
      </c>
      <c r="EM36" s="6">
        <f t="shared" si="541"/>
        <v>0</v>
      </c>
      <c r="EN36" s="8">
        <v>0</v>
      </c>
      <c r="EO36" s="69">
        <f t="shared" si="542"/>
        <v>0.67741935483870963</v>
      </c>
      <c r="EP36" s="69">
        <f t="shared" si="543"/>
        <v>0.67741935483870963</v>
      </c>
      <c r="EQ36" s="149">
        <f t="shared" si="544"/>
        <v>0.71132187314759932</v>
      </c>
      <c r="ER36" s="149">
        <f t="shared" si="545"/>
        <v>0</v>
      </c>
      <c r="ES36" s="69">
        <f t="shared" si="546"/>
        <v>0.11437532002048131</v>
      </c>
      <c r="ET36" s="6"/>
      <c r="EU36" s="6">
        <f t="shared" si="547"/>
        <v>744</v>
      </c>
      <c r="EV36" s="19">
        <v>1787</v>
      </c>
      <c r="EW36" s="8">
        <v>21</v>
      </c>
      <c r="EZ36" s="37" t="s">
        <v>52</v>
      </c>
      <c r="FA36" s="8">
        <v>0</v>
      </c>
      <c r="FB36" s="8">
        <v>0</v>
      </c>
      <c r="FC36" s="8">
        <v>0</v>
      </c>
      <c r="FD36" s="8">
        <v>672</v>
      </c>
      <c r="FE36" s="6">
        <f t="shared" si="548"/>
        <v>1</v>
      </c>
      <c r="FF36" s="8">
        <v>0</v>
      </c>
      <c r="FG36" s="6">
        <f t="shared" si="549"/>
        <v>0</v>
      </c>
      <c r="FH36" s="6">
        <v>0</v>
      </c>
      <c r="FI36" s="6">
        <f t="shared" si="550"/>
        <v>0</v>
      </c>
      <c r="FJ36" s="8">
        <v>0</v>
      </c>
      <c r="FK36" s="69">
        <f t="shared" si="551"/>
        <v>0</v>
      </c>
      <c r="FL36" s="69">
        <f t="shared" si="552"/>
        <v>0</v>
      </c>
      <c r="FM36" s="149">
        <f t="shared" si="553"/>
        <v>1</v>
      </c>
      <c r="FN36" s="149">
        <f t="shared" si="554"/>
        <v>0</v>
      </c>
      <c r="FO36" s="69">
        <f t="shared" si="555"/>
        <v>0</v>
      </c>
      <c r="FP36" s="6"/>
      <c r="FQ36" s="6">
        <f t="shared" si="556"/>
        <v>672</v>
      </c>
      <c r="FR36" s="8">
        <v>0</v>
      </c>
      <c r="FS36" s="8">
        <v>21</v>
      </c>
      <c r="FV36" s="37" t="s">
        <v>52</v>
      </c>
      <c r="FW36" s="8">
        <v>3.7</v>
      </c>
      <c r="FX36" s="8">
        <v>2.7</v>
      </c>
      <c r="FY36" s="130">
        <v>1</v>
      </c>
      <c r="FZ36" s="8">
        <v>740.3</v>
      </c>
      <c r="GA36" s="69">
        <f t="shared" si="557"/>
        <v>0.99502688172043008</v>
      </c>
      <c r="GB36" s="8">
        <v>0</v>
      </c>
      <c r="GC36" s="69">
        <f t="shared" si="558"/>
        <v>0</v>
      </c>
      <c r="GD36" s="6">
        <v>0</v>
      </c>
      <c r="GE36" s="6">
        <f t="shared" si="559"/>
        <v>0</v>
      </c>
      <c r="GF36" s="8">
        <v>0</v>
      </c>
      <c r="GG36" s="69">
        <f t="shared" si="560"/>
        <v>4.9731182795698927E-3</v>
      </c>
      <c r="GH36" s="69">
        <f t="shared" si="561"/>
        <v>4.9731182795698927E-3</v>
      </c>
      <c r="GI36" s="149">
        <f t="shared" si="562"/>
        <v>0.99636608344549116</v>
      </c>
      <c r="GJ36" s="149">
        <f t="shared" si="563"/>
        <v>0</v>
      </c>
      <c r="GK36" s="69">
        <f t="shared" si="564"/>
        <v>2.2401433691756271E-3</v>
      </c>
      <c r="GL36" s="69"/>
      <c r="GM36" s="6">
        <f t="shared" si="565"/>
        <v>744</v>
      </c>
      <c r="GN36" s="8">
        <v>35</v>
      </c>
      <c r="GO36" s="8">
        <v>21</v>
      </c>
      <c r="GR36" s="37" t="s">
        <v>52</v>
      </c>
      <c r="GS36" s="8">
        <v>0</v>
      </c>
      <c r="GT36" s="8">
        <v>0</v>
      </c>
      <c r="GU36" s="8">
        <v>0</v>
      </c>
      <c r="GV36" s="8">
        <v>720</v>
      </c>
      <c r="GW36" s="6">
        <f t="shared" si="566"/>
        <v>1</v>
      </c>
      <c r="GX36" s="8">
        <v>0</v>
      </c>
      <c r="GY36" s="8">
        <f>(GX36/$GR$4)</f>
        <v>0</v>
      </c>
      <c r="GZ36" s="8">
        <v>0</v>
      </c>
      <c r="HA36" s="6">
        <f t="shared" si="567"/>
        <v>0</v>
      </c>
      <c r="HB36" s="8">
        <v>0</v>
      </c>
      <c r="HC36" s="69">
        <f t="shared" si="568"/>
        <v>0</v>
      </c>
      <c r="HD36" s="69">
        <f>((GS36-HB36)/$GR$4)</f>
        <v>0</v>
      </c>
      <c r="HE36" s="149">
        <f t="shared" si="569"/>
        <v>1</v>
      </c>
      <c r="HF36" s="149">
        <f>HB36/$GR$4</f>
        <v>0</v>
      </c>
      <c r="HG36" s="69">
        <f t="shared" si="570"/>
        <v>0</v>
      </c>
      <c r="HH36" s="15">
        <v>0</v>
      </c>
      <c r="HI36" s="6">
        <f t="shared" si="571"/>
        <v>720</v>
      </c>
      <c r="HJ36" s="8">
        <v>0</v>
      </c>
      <c r="HK36" s="8">
        <v>21</v>
      </c>
      <c r="HN36" s="37" t="s">
        <v>52</v>
      </c>
      <c r="HO36" s="8">
        <v>0</v>
      </c>
      <c r="HP36" s="8">
        <v>0</v>
      </c>
      <c r="HQ36" s="8">
        <v>0</v>
      </c>
      <c r="HR36" s="8">
        <v>744</v>
      </c>
      <c r="HS36" s="6">
        <f t="shared" si="572"/>
        <v>1</v>
      </c>
      <c r="HT36" s="8">
        <v>0</v>
      </c>
      <c r="HU36" s="6">
        <f t="shared" si="573"/>
        <v>0</v>
      </c>
      <c r="HV36" s="8">
        <v>0</v>
      </c>
      <c r="HW36" s="6">
        <f>(HV36/$HN$4)</f>
        <v>0</v>
      </c>
      <c r="HX36" s="8">
        <v>0</v>
      </c>
      <c r="HY36" s="69">
        <f t="shared" si="574"/>
        <v>0</v>
      </c>
      <c r="HZ36" s="69">
        <f t="shared" si="575"/>
        <v>0</v>
      </c>
      <c r="IA36" s="69">
        <f t="shared" si="576"/>
        <v>1</v>
      </c>
      <c r="IB36" s="149">
        <f t="shared" si="577"/>
        <v>0</v>
      </c>
      <c r="IC36" s="69">
        <f t="shared" si="578"/>
        <v>0</v>
      </c>
      <c r="ID36" s="15">
        <v>0</v>
      </c>
      <c r="IE36" s="6">
        <f t="shared" si="579"/>
        <v>744</v>
      </c>
      <c r="IF36" s="8">
        <v>0</v>
      </c>
      <c r="IG36" s="8">
        <v>21</v>
      </c>
      <c r="IJ36" s="37" t="s">
        <v>52</v>
      </c>
      <c r="IK36" s="53">
        <v>0</v>
      </c>
      <c r="IL36" s="53">
        <v>0</v>
      </c>
      <c r="IM36" s="53">
        <v>0</v>
      </c>
      <c r="IN36" s="53">
        <v>720</v>
      </c>
      <c r="IO36" s="69">
        <f t="shared" si="580"/>
        <v>1</v>
      </c>
      <c r="IP36" s="53">
        <v>0</v>
      </c>
      <c r="IQ36" s="69">
        <f>(IP36/$IJ$4)</f>
        <v>0</v>
      </c>
      <c r="IR36" s="53">
        <v>0</v>
      </c>
      <c r="IS36" s="69">
        <f t="shared" si="581"/>
        <v>0</v>
      </c>
      <c r="IT36" s="53">
        <v>0</v>
      </c>
      <c r="IU36" s="69">
        <f t="shared" si="582"/>
        <v>0</v>
      </c>
      <c r="IV36" s="164">
        <f t="shared" si="583"/>
        <v>0</v>
      </c>
      <c r="IW36" s="164">
        <f t="shared" si="584"/>
        <v>1</v>
      </c>
      <c r="IX36" s="149">
        <f t="shared" si="585"/>
        <v>0</v>
      </c>
      <c r="IY36" s="69">
        <f>(JB36/($IJ$4*JC36))</f>
        <v>0</v>
      </c>
      <c r="IZ36" s="15">
        <v>0</v>
      </c>
      <c r="JA36" s="15">
        <f t="shared" si="586"/>
        <v>720</v>
      </c>
      <c r="JB36" s="54">
        <v>0</v>
      </c>
      <c r="JC36" s="8">
        <v>21</v>
      </c>
    </row>
    <row r="37" spans="1:263" ht="15" x14ac:dyDescent="0.25">
      <c r="B37" s="24" t="s">
        <v>39</v>
      </c>
      <c r="C37" s="98">
        <f>SUM(C34:C36)</f>
        <v>2192</v>
      </c>
      <c r="D37" s="25">
        <f t="shared" ref="D37:L37" si="591">SUM(D34:D36)</f>
        <v>278.8</v>
      </c>
      <c r="E37" s="98">
        <f t="shared" si="591"/>
        <v>1913.1999999999998</v>
      </c>
      <c r="F37" s="25">
        <f t="shared" si="591"/>
        <v>40</v>
      </c>
      <c r="G37" s="78">
        <f>(G34*U34+G35*U35+G36*U36)/U37</f>
        <v>1.7921146953405021E-2</v>
      </c>
      <c r="H37" s="25">
        <f t="shared" si="591"/>
        <v>0</v>
      </c>
      <c r="I37" s="78">
        <f>(I34*U34+I35*U35+I36*U36)/U37</f>
        <v>0</v>
      </c>
      <c r="J37" s="25">
        <f t="shared" si="591"/>
        <v>0</v>
      </c>
      <c r="K37" s="78">
        <f>(K34*U34+K35*U35+K36*U36)/U37</f>
        <v>0</v>
      </c>
      <c r="L37" s="25">
        <f t="shared" si="591"/>
        <v>0</v>
      </c>
      <c r="M37" s="78">
        <f>(M34*U34+M35*U35+M36*U36)/U37</f>
        <v>0.98207885304659504</v>
      </c>
      <c r="N37" s="81">
        <f>(N34*U34+N35*U35+N36*U36)/U37</f>
        <v>0.98207885304659504</v>
      </c>
      <c r="O37" s="81">
        <f>(O34*U34+O35*U35+O36*U36)/U37</f>
        <v>0.10523546435148645</v>
      </c>
      <c r="P37" s="81">
        <f>(P34*U34+P35*U35+P36*U36)/U37</f>
        <v>0</v>
      </c>
      <c r="Q37" s="81">
        <f>(Q34*U34+Q35*U35+Q36*U36)/U37</f>
        <v>0.1039853217272572</v>
      </c>
      <c r="R37" s="25">
        <f t="shared" ref="R37" si="592">SUM(R34:R36)</f>
        <v>1</v>
      </c>
      <c r="S37" s="30">
        <f>SUM(S34:S36)</f>
        <v>2232</v>
      </c>
      <c r="T37" s="35">
        <f>SUM(T34:T36)</f>
        <v>4874</v>
      </c>
      <c r="U37" s="25">
        <f>SUM(U34:U36)</f>
        <v>63</v>
      </c>
      <c r="X37" s="32" t="s">
        <v>39</v>
      </c>
      <c r="Y37" s="29">
        <f>SUM(Y34:Y36)</f>
        <v>2232</v>
      </c>
      <c r="Z37" s="29">
        <f t="shared" ref="Z37:AH37" si="593">SUM(Z34:Z36)</f>
        <v>566.20000000000005</v>
      </c>
      <c r="AA37" s="29">
        <f>SUM(AA34:AA36)</f>
        <v>1665.8000000000002</v>
      </c>
      <c r="AB37" s="29">
        <f t="shared" si="593"/>
        <v>0</v>
      </c>
      <c r="AC37" s="79">
        <f>(AC34*AQ34+AC35*AQ35+AC36*AQ36)/AQ37</f>
        <v>0</v>
      </c>
      <c r="AD37" s="29">
        <f t="shared" si="593"/>
        <v>0</v>
      </c>
      <c r="AE37" s="79">
        <f>(AE34*AQ34+AE35*AQ35+AE36*AQ36)/AQ37</f>
        <v>0</v>
      </c>
      <c r="AF37" s="30">
        <f>SUM(AF34:AF36)</f>
        <v>0</v>
      </c>
      <c r="AG37" s="79">
        <f>(AG34*AQ34+AG35*AQ35+AG36*AQ36)/AQ37</f>
        <v>0</v>
      </c>
      <c r="AH37" s="29">
        <f t="shared" si="593"/>
        <v>0</v>
      </c>
      <c r="AI37" s="78">
        <f>(AI34*AQ34+AI35*AQ35+AI36*AQ36)/AQ37</f>
        <v>1</v>
      </c>
      <c r="AJ37" s="79">
        <f>(AJ34*AQ34+AJ35*AQ35+AJ36*AQ36)/AQ37</f>
        <v>1</v>
      </c>
      <c r="AK37" s="79">
        <f>(AK34*AQ34+AK35*AQ35+AK36*AQ36)/AQ37</f>
        <v>0</v>
      </c>
      <c r="AL37" s="79">
        <f>(AL34*AQ34+AL35*AQ35+AL36*AQ36)/AQ37</f>
        <v>0</v>
      </c>
      <c r="AM37" s="81">
        <f>(AM34*AQ34+AM35*AQ35+AM36*AQ36)/AQ37</f>
        <v>0.23404164533196789</v>
      </c>
      <c r="AN37" s="29">
        <f t="shared" ref="AN37" si="594">SUM(AN34:AN36)</f>
        <v>0</v>
      </c>
      <c r="AO37" s="30">
        <f>SUM(AO34:AO36)</f>
        <v>2232</v>
      </c>
      <c r="AP37" s="34">
        <f>SUM(AP34:AP36)</f>
        <v>10970</v>
      </c>
      <c r="AQ37" s="29">
        <f>SUM(AQ34:AQ36)</f>
        <v>63</v>
      </c>
      <c r="AT37" s="32" t="s">
        <v>39</v>
      </c>
      <c r="AU37" s="98">
        <f>SUM(AU34:AU36)</f>
        <v>2160</v>
      </c>
      <c r="AV37" s="25">
        <f t="shared" ref="AV37:BD37" si="595">SUM(AV34:AV36)</f>
        <v>846.2</v>
      </c>
      <c r="AW37" s="98">
        <f>SUM(AW34:AW36)</f>
        <v>1313.8</v>
      </c>
      <c r="AX37" s="25">
        <f t="shared" si="595"/>
        <v>0</v>
      </c>
      <c r="AY37" s="26">
        <f>(AY34*BM34+AY35*BM35+AY36*BM36)/BM37</f>
        <v>0</v>
      </c>
      <c r="AZ37" s="25">
        <f t="shared" si="595"/>
        <v>0</v>
      </c>
      <c r="BA37" s="26">
        <f>(BA35*BM35+BA36*BM36)/BM37</f>
        <v>0</v>
      </c>
      <c r="BB37" s="26">
        <f>SUM(BB34:BB36)</f>
        <v>0</v>
      </c>
      <c r="BC37" s="30">
        <f>(BC34*BM34+BC35*BM35+BC36*BM36)/BM37</f>
        <v>0</v>
      </c>
      <c r="BD37" s="25">
        <f t="shared" si="595"/>
        <v>0</v>
      </c>
      <c r="BE37" s="78">
        <f>(BE34*BM34+BE35*BM35+BE36*BM36)/BM37</f>
        <v>1</v>
      </c>
      <c r="BF37" s="81">
        <f>(BF34*BM34+BF35*BM35+BF36*BM36)/BM37</f>
        <v>1</v>
      </c>
      <c r="BG37" s="81">
        <f>(BG34*BM34+BG35*BM35+BG36*BM36)/BM37</f>
        <v>0</v>
      </c>
      <c r="BH37" s="81"/>
      <c r="BI37" s="81">
        <f>(BI34*BM34+BI35*BM35+BI36*BM36)/BM37</f>
        <v>0.27793209876543212</v>
      </c>
      <c r="BJ37" s="149"/>
      <c r="BK37" s="30">
        <f>SUM(BK34:BK36)</f>
        <v>2160</v>
      </c>
      <c r="BL37" s="33">
        <f>SUM(BL34:BL36)</f>
        <v>12607</v>
      </c>
      <c r="BM37" s="29">
        <f>SUM(BM34:BM36)</f>
        <v>63</v>
      </c>
      <c r="BP37" s="32" t="s">
        <v>39</v>
      </c>
      <c r="BQ37" s="25">
        <f>SUM(BQ34:BQ36)</f>
        <v>2232</v>
      </c>
      <c r="BR37" s="25">
        <f t="shared" ref="BR37:BZ37" si="596">SUM(BR34:BR36)</f>
        <v>734.2</v>
      </c>
      <c r="BS37" s="25">
        <f>SUM(BS34:BS36)</f>
        <v>1497.8</v>
      </c>
      <c r="BT37" s="25">
        <f t="shared" si="596"/>
        <v>0</v>
      </c>
      <c r="BU37" s="78">
        <f>(BU34*CI34+BU35*CI35+BU36*CI36)/CI37</f>
        <v>0</v>
      </c>
      <c r="BV37" s="25">
        <f t="shared" si="596"/>
        <v>0</v>
      </c>
      <c r="BW37" s="78">
        <f>(BW34*CI34+BW35*CI35+BW36*CI36)/CI37</f>
        <v>0</v>
      </c>
      <c r="BX37" s="26">
        <f>SUM(BX34:BX36)</f>
        <v>0</v>
      </c>
      <c r="BY37" s="79">
        <f>(BY34*CI34+BY35*CI35+BY36*CI36)/CI37</f>
        <v>0</v>
      </c>
      <c r="BZ37" s="25">
        <f t="shared" si="596"/>
        <v>0</v>
      </c>
      <c r="CA37" s="78">
        <f>(CA34*CI34+CA35*CI35+CA36*CI36)/CI37</f>
        <v>1</v>
      </c>
      <c r="CB37" s="81">
        <f>(CB34*CI34+CB35*CI35+CB36*CI36)/CI37</f>
        <v>1</v>
      </c>
      <c r="CC37" s="7">
        <f>(CC34*CI34+CC35*CI35+CC36*CI36)/CI37</f>
        <v>0</v>
      </c>
      <c r="CD37" s="7"/>
      <c r="CE37" s="7">
        <f>(CE34*CI34+CE35*CI35+CE36*CI36)/CI37</f>
        <v>0.27952722307561018</v>
      </c>
      <c r="CF37" s="18"/>
      <c r="CG37" s="33">
        <f>SUM(CG34:CG36)</f>
        <v>2232</v>
      </c>
      <c r="CH37" s="34">
        <f>SUM(CH34:CH36)</f>
        <v>13102</v>
      </c>
      <c r="CI37" s="29">
        <f>SUM(CI34:CI36)</f>
        <v>63</v>
      </c>
      <c r="CL37" s="32" t="s">
        <v>39</v>
      </c>
      <c r="CM37" s="25">
        <f>SUM(CM34:CM36)</f>
        <v>2139</v>
      </c>
      <c r="CN37" s="25">
        <f t="shared" ref="CN37:CV37" si="597">SUM(CN34:CN36)</f>
        <v>208.60000000000002</v>
      </c>
      <c r="CO37" s="25">
        <f>SUM(CO34:CO36)</f>
        <v>1930.4</v>
      </c>
      <c r="CP37" s="25">
        <f t="shared" si="597"/>
        <v>21</v>
      </c>
      <c r="CQ37" s="78">
        <f>(CQ34*DE34+CQ35*DE35+CQ36*DE36)/DE37</f>
        <v>9.7222222222222224E-3</v>
      </c>
      <c r="CR37" s="25">
        <f t="shared" si="597"/>
        <v>0</v>
      </c>
      <c r="CS37" s="78">
        <f>(CS35*DE35+CS36*DE36)/DE37</f>
        <v>0</v>
      </c>
      <c r="CT37" s="26">
        <f>SUM(CT34:CT36)</f>
        <v>0</v>
      </c>
      <c r="CU37" s="78">
        <f>(CU34*DE34+CU35*DE35+CU36*DE36)/DE37</f>
        <v>0</v>
      </c>
      <c r="CV37" s="25">
        <f t="shared" si="597"/>
        <v>0</v>
      </c>
      <c r="CW37" s="78">
        <f>(CW34*DE34+CW35*DE35+CW36*DE36)/DE37</f>
        <v>0.99027777777777781</v>
      </c>
      <c r="CX37" s="81">
        <f>(CX34*DE34+CX35*DE35+CX36*DE36)/DE37</f>
        <v>0.99027777777777781</v>
      </c>
      <c r="CY37" s="81">
        <f>(CY34*DE34+CY35*DE35+CY36*DE36)/DE37</f>
        <v>7.7777777777777779E-2</v>
      </c>
      <c r="CZ37" s="81"/>
      <c r="DA37" s="81">
        <f>(DA34*DE34+DA35*DE35+DA36*DE36)/DE37</f>
        <v>8.0930335097001774E-2</v>
      </c>
      <c r="DB37" s="149"/>
      <c r="DC37" s="30">
        <f>SUM(DC34:DC36)</f>
        <v>2160</v>
      </c>
      <c r="DD37" s="34">
        <f>SUM(DD34:DD36)</f>
        <v>3671</v>
      </c>
      <c r="DE37" s="29">
        <f>SUM(DE34:DE36)</f>
        <v>63</v>
      </c>
      <c r="DH37" s="32" t="s">
        <v>39</v>
      </c>
      <c r="DI37" s="98">
        <f>SUM(DI34:DI36)</f>
        <v>2201</v>
      </c>
      <c r="DJ37" s="25">
        <f t="shared" ref="DJ37:DR37" si="598">SUM(DJ34:DJ36)</f>
        <v>322.59999999999997</v>
      </c>
      <c r="DK37" s="98">
        <f>SUM(DK34:DK36)</f>
        <v>1878.3999999999999</v>
      </c>
      <c r="DL37" s="25">
        <f t="shared" si="598"/>
        <v>31</v>
      </c>
      <c r="DM37" s="78">
        <f>(DM34*EA34+DM35*EA35+DM36*EA36)/EA37</f>
        <v>1.3888888888888888E-2</v>
      </c>
      <c r="DN37" s="25">
        <f t="shared" si="598"/>
        <v>0</v>
      </c>
      <c r="DO37" s="78">
        <f>(DO35*EA35+DO36*EA36)/EA37</f>
        <v>0</v>
      </c>
      <c r="DP37" s="26">
        <f>SUM(DP34:DP36)</f>
        <v>0</v>
      </c>
      <c r="DQ37" s="79">
        <f>(DQ34*EA34+DQ35*EA35+DQ36*EA36)/EA37</f>
        <v>0</v>
      </c>
      <c r="DR37" s="25">
        <f t="shared" si="598"/>
        <v>0</v>
      </c>
      <c r="DS37" s="78">
        <f>(DS34*EA34+DS35*EA35+DS36*EA36)/EA37</f>
        <v>0.98611111111111116</v>
      </c>
      <c r="DT37" s="81">
        <f>(DT34*EA34+DT35*EA35+DT36*EA36)/EA37</f>
        <v>0.98611111111111116</v>
      </c>
      <c r="DU37" s="81">
        <f>(DU34*EA34+DU35*EA35+DU36*EA36)/EA37</f>
        <v>8.2570623844959973E-2</v>
      </c>
      <c r="DV37" s="81">
        <f>(DV34*EA34+DV35*EA35+DV36*EA36)/EA37</f>
        <v>0</v>
      </c>
      <c r="DW37" s="81">
        <f>(DW34*EA34+DW35*EA35+DW36*EA36)/EA37</f>
        <v>0.12201314217443249</v>
      </c>
      <c r="DX37" s="149"/>
      <c r="DY37" s="31">
        <f>SUM(DY34:DY36)</f>
        <v>2232</v>
      </c>
      <c r="DZ37" s="39">
        <f>SUM(DZ34:DZ36)</f>
        <v>5719</v>
      </c>
      <c r="EA37" s="29">
        <f>SUM(EA34:EA36)</f>
        <v>63</v>
      </c>
      <c r="ED37" s="32" t="s">
        <v>39</v>
      </c>
      <c r="EE37" s="25">
        <f>SUM(EE34:EE36)</f>
        <v>1980</v>
      </c>
      <c r="EF37" s="25">
        <f t="shared" ref="EF37:EN37" si="599">SUM(EF34:EF36)</f>
        <v>384.6</v>
      </c>
      <c r="EG37" s="25">
        <f>SUM(EG34:EG36)</f>
        <v>1595.4</v>
      </c>
      <c r="EH37" s="25">
        <f t="shared" si="599"/>
        <v>252</v>
      </c>
      <c r="EI37" s="78">
        <f>(EI34*EW34+EI35*EW35+EI36*EW36)/EW37</f>
        <v>0.11290322580645162</v>
      </c>
      <c r="EJ37" s="25">
        <f t="shared" si="599"/>
        <v>0</v>
      </c>
      <c r="EK37" s="78">
        <f>(EK35*EW35+EK36*EW36)/EW37</f>
        <v>0</v>
      </c>
      <c r="EL37" s="26">
        <f>SUM(EL34:EL36)</f>
        <v>0</v>
      </c>
      <c r="EM37" s="79">
        <f>(EM34*EW34+EM35*EW35+EM36*EW36)/EW37</f>
        <v>0</v>
      </c>
      <c r="EN37" s="25">
        <f t="shared" si="599"/>
        <v>0</v>
      </c>
      <c r="EO37" s="78">
        <f>(EO34*EW34+EO35*EW35+EO36*EW36)/EW37</f>
        <v>0.88709677419354838</v>
      </c>
      <c r="EP37" s="81">
        <f>(EP34*EW34+EP35*EW35+EP36*EW36)/EW37</f>
        <v>0.88709677419354838</v>
      </c>
      <c r="EQ37" s="81">
        <f>(EQ34*EW34+EQ35*EW35+EQ36*EW36)/EW37</f>
        <v>0.26395292863309239</v>
      </c>
      <c r="ER37" s="81"/>
      <c r="ES37" s="81">
        <f>(ES34*EW34+ES35*EW35+ES36*EW36)/EW37</f>
        <v>0.14669738863287252</v>
      </c>
      <c r="ET37" s="149"/>
      <c r="EU37" s="30">
        <f>SUM(EU34:EU36)</f>
        <v>2232</v>
      </c>
      <c r="EV37" s="34">
        <f>SUM(EV34:EV36)</f>
        <v>6876</v>
      </c>
      <c r="EW37" s="29">
        <f>SUM(EW34:EW36)</f>
        <v>63</v>
      </c>
      <c r="EZ37" s="24" t="s">
        <v>39</v>
      </c>
      <c r="FA37" s="25">
        <f>SUM(FA34:FA36)</f>
        <v>1344</v>
      </c>
      <c r="FB37" s="25">
        <f t="shared" ref="FB37:FJ37" si="600">SUM(FB34:FB36)</f>
        <v>219.5</v>
      </c>
      <c r="FC37" s="25">
        <f>SUM(FC34:FC36)</f>
        <v>1124.5</v>
      </c>
      <c r="FD37" s="25">
        <f t="shared" si="600"/>
        <v>672</v>
      </c>
      <c r="FE37" s="78">
        <f>(FE34*FS34+FE35*FS35+FE36*FS36)/FS37</f>
        <v>0.33333333333333331</v>
      </c>
      <c r="FF37" s="25">
        <f t="shared" si="600"/>
        <v>0</v>
      </c>
      <c r="FG37" s="78">
        <f>(FG35*FS35+FG36*FS36)/FS37</f>
        <v>0</v>
      </c>
      <c r="FH37" s="26">
        <f>SUM(FH34:FH36)</f>
        <v>0</v>
      </c>
      <c r="FI37" s="79">
        <f>(FI34*FS34+FI35*FS35+FI36*FS36)/FS37</f>
        <v>0</v>
      </c>
      <c r="FJ37" s="25">
        <f t="shared" si="600"/>
        <v>0</v>
      </c>
      <c r="FK37" s="78">
        <f>(FK34*FS34+FK35*FS35+FK36*FS36)/FS37</f>
        <v>0.60215053763440862</v>
      </c>
      <c r="FL37" s="81">
        <f>(FL34*FS34+FL35*FS35+FL36*FS36)/FS37</f>
        <v>0.66666666666666663</v>
      </c>
      <c r="FM37" s="81">
        <f>(FM34*FS34+FM35*FS35+FM36*FS36)/FS37</f>
        <v>0.33333333333333331</v>
      </c>
      <c r="FN37" s="81"/>
      <c r="FO37" s="81">
        <f>(FO34*FS34+FO35*FS35+FO36*FS36)/FS37</f>
        <v>9.1482426303854877E-2</v>
      </c>
      <c r="FP37" s="149"/>
      <c r="FQ37" s="30">
        <f>SUM(FQ34:FQ36)</f>
        <v>2016</v>
      </c>
      <c r="FR37" s="33">
        <f>SUM(FR34:FR36)</f>
        <v>3873</v>
      </c>
      <c r="FS37" s="29">
        <f>SUM(FS34:FS36)</f>
        <v>63</v>
      </c>
      <c r="FV37" s="24" t="s">
        <v>39</v>
      </c>
      <c r="FW37" s="25">
        <f>SUM(FW34:FW36)</f>
        <v>1491.7</v>
      </c>
      <c r="FX37" s="25">
        <f t="shared" ref="FX37:GF37" si="601">SUM(FX34:FX36)</f>
        <v>526.30000000000007</v>
      </c>
      <c r="FY37" s="25">
        <f>SUM(FY34:FY36)</f>
        <v>965.4</v>
      </c>
      <c r="FZ37" s="25">
        <f t="shared" si="601"/>
        <v>740.3</v>
      </c>
      <c r="GA37" s="78">
        <f>(GA34*GO34+GA35*GO35+GA36*GO36)/GO37</f>
        <v>0.33167562724014338</v>
      </c>
      <c r="GB37" s="25">
        <f t="shared" si="601"/>
        <v>0</v>
      </c>
      <c r="GC37" s="78">
        <f>(GC35*GO35+GC36*GO36)/GO37</f>
        <v>0</v>
      </c>
      <c r="GD37" s="26">
        <f>SUM(GD34:GD36)</f>
        <v>0</v>
      </c>
      <c r="GE37" s="79">
        <f>(GE34*GO34+GE35*GO35+GE36*GO36)/GO37</f>
        <v>0</v>
      </c>
      <c r="GF37" s="25">
        <f t="shared" si="601"/>
        <v>0</v>
      </c>
      <c r="GG37" s="78">
        <f>(GG34*GO34+GG35*GO35+GG36*GO36)/GO37</f>
        <v>0.66832437275985657</v>
      </c>
      <c r="GH37" s="81">
        <f>(GH34*GO34+GH35*GO35+GH36*GO36)/GO37</f>
        <v>0.66832437275985657</v>
      </c>
      <c r="GI37" s="81">
        <f>(GI34*GO34+GI35*GO35+GI36*GO36)/GO37</f>
        <v>0.3321220278151637</v>
      </c>
      <c r="GJ37" s="81">
        <f>(GJ34*GO34+GJ35*GO35+GJ36*GO36)/GO37</f>
        <v>0</v>
      </c>
      <c r="GK37" s="81">
        <f>(GK34*GO34+GK35*GO35+GK36*GO36)/GO37</f>
        <v>0.20317033623485237</v>
      </c>
      <c r="GL37" s="149"/>
      <c r="GM37" s="30">
        <f>SUM(GM34:GM36)</f>
        <v>2232</v>
      </c>
      <c r="GN37" s="33">
        <f>SUM(GN34:GN36)</f>
        <v>9523</v>
      </c>
      <c r="GO37" s="29">
        <f>SUM(GO34:GO36)</f>
        <v>63</v>
      </c>
      <c r="GR37" s="32" t="s">
        <v>39</v>
      </c>
      <c r="GS37" s="115">
        <f>SUM(GS34:GS36)</f>
        <v>1320</v>
      </c>
      <c r="GT37" s="115">
        <f t="shared" ref="GT37:HB37" si="602">SUM(GT34:GT36)</f>
        <v>598.29999999999995</v>
      </c>
      <c r="GU37" s="115">
        <f>SUM(GU34:GU36)</f>
        <v>721.7</v>
      </c>
      <c r="GV37" s="115">
        <f t="shared" si="602"/>
        <v>840</v>
      </c>
      <c r="GW37" s="116">
        <f>(GW34*HK34+GW35*HK35+GW36*HK36)/HK37</f>
        <v>0.3888888888888889</v>
      </c>
      <c r="GX37" s="115">
        <f t="shared" si="602"/>
        <v>0</v>
      </c>
      <c r="GY37" s="116">
        <f>(GY35*HK35+GY36*HK36)/HK37</f>
        <v>0</v>
      </c>
      <c r="GZ37" s="117">
        <f>SUM(GZ34:GZ36)</f>
        <v>0</v>
      </c>
      <c r="HA37" s="116">
        <f>(HA34*HK34+HA35*HK35+HA36*HK36)/HK37</f>
        <v>0</v>
      </c>
      <c r="HB37" s="115">
        <f t="shared" si="602"/>
        <v>0</v>
      </c>
      <c r="HC37" s="116">
        <f>(HC34*HK34+HC35*HK35+HC36*HK36)/HK37</f>
        <v>0.59139784946236562</v>
      </c>
      <c r="HD37" s="119">
        <f>(HD34*$HK$34+HD35*$HK$35+HD36*$HK$36)/$HK$37</f>
        <v>0.61111111111111116</v>
      </c>
      <c r="HE37" s="119">
        <f>(HE34*HK34+HE35*HK35+HE36*HK36)/HK37</f>
        <v>0.46100649005213318</v>
      </c>
      <c r="HF37" s="119">
        <f>(HF34*$HK$34+HF35*$HK$35+HF36*$HK$36)/$HK$37</f>
        <v>0</v>
      </c>
      <c r="HG37" s="121">
        <f>(HG34*HK34+HG35*HK35+HG36*HK36)/HK37</f>
        <v>0.24142416225749558</v>
      </c>
      <c r="HH37" s="115">
        <f t="shared" ref="HH37" si="603">SUM(HH34:HH36)</f>
        <v>0</v>
      </c>
      <c r="HI37" s="120">
        <f>SUM(HI34:HI36)</f>
        <v>2160</v>
      </c>
      <c r="HJ37" s="75">
        <f>SUM(HJ34:HJ36)</f>
        <v>10951</v>
      </c>
      <c r="HK37" s="48">
        <f>SUM(HK34:HK36)</f>
        <v>63</v>
      </c>
      <c r="HN37" s="32" t="s">
        <v>39</v>
      </c>
      <c r="HO37" s="25">
        <f>SUM(HO34:HO36)</f>
        <v>744</v>
      </c>
      <c r="HP37" s="25">
        <f t="shared" ref="HP37:HX37" si="604">SUM(HP34:HP36)</f>
        <v>168.8</v>
      </c>
      <c r="HQ37" s="25">
        <f>SUM(HQ34:HQ36)</f>
        <v>575.20000000000005</v>
      </c>
      <c r="HR37" s="25">
        <f t="shared" si="604"/>
        <v>1488</v>
      </c>
      <c r="HS37" s="78">
        <f>(HS34*IG34+HS35*IG35+HS36*IG36)/IG37</f>
        <v>0.66666666666666663</v>
      </c>
      <c r="HT37" s="25">
        <f t="shared" si="604"/>
        <v>0</v>
      </c>
      <c r="HU37" s="78">
        <f>(HU35*IG35+HU36*IG36)/IG37</f>
        <v>0</v>
      </c>
      <c r="HV37" s="26">
        <f>SUM(HV34:HV36)</f>
        <v>0</v>
      </c>
      <c r="HW37" s="78">
        <f>(HW35*IG35+HW36*IG36)/IG37</f>
        <v>0</v>
      </c>
      <c r="HX37" s="25">
        <f t="shared" si="604"/>
        <v>0</v>
      </c>
      <c r="HY37" s="78">
        <f>(HY34*IG34+HY35*IG35+HY36*IG36)/IG37</f>
        <v>0.33333333333333331</v>
      </c>
      <c r="HZ37" s="81">
        <f>(HZ34*IG34+HZ35*IG35+HZ36*IG36)/IG37</f>
        <v>0.33333333333333331</v>
      </c>
      <c r="IA37" s="81">
        <f>(IA34*IG34+IA35*IG35+IA36*IG36)/IG37</f>
        <v>0.66666666666666663</v>
      </c>
      <c r="IB37" s="81">
        <f>(IB34*IG34+IB35*IG35+IB36*IG36)/IG37</f>
        <v>0</v>
      </c>
      <c r="IC37" s="80">
        <f>(IC34*IG34+IC35*IG35+IC36*IG36)/IG37</f>
        <v>6.8676395289298503E-2</v>
      </c>
      <c r="ID37" s="25">
        <f t="shared" ref="ID37" si="605">SUM(ID34:ID36)</f>
        <v>0</v>
      </c>
      <c r="IE37" s="30">
        <f>SUM(IE34:IE36)</f>
        <v>2232</v>
      </c>
      <c r="IF37" s="33">
        <f>SUM(IF34:IF36)</f>
        <v>3219</v>
      </c>
      <c r="IG37" s="29">
        <f>SUM(IG34:IG36)</f>
        <v>63</v>
      </c>
      <c r="IJ37" s="32" t="s">
        <v>84</v>
      </c>
      <c r="IK37" s="29">
        <f>SUM(IK34:IK36)</f>
        <v>720</v>
      </c>
      <c r="IL37" s="29">
        <f t="shared" ref="IL37:IM37" si="606">SUM(IL34:IL36)</f>
        <v>197.09999999999991</v>
      </c>
      <c r="IM37" s="29">
        <f t="shared" si="606"/>
        <v>522.90000000000009</v>
      </c>
      <c r="IN37" s="29">
        <f t="shared" ref="IN37" si="607">SUM(IN34:IN36)</f>
        <v>1440</v>
      </c>
      <c r="IO37" s="78">
        <f>(IO34*JC34+IO35*JC35+IO36*JC36)/JC37</f>
        <v>0.66666666666666663</v>
      </c>
      <c r="IP37" s="29">
        <f t="shared" ref="IP37:IR37" si="608">SUM(IP34:IP36)</f>
        <v>0</v>
      </c>
      <c r="IQ37" s="78">
        <f>(IQ34*JC34+IQ35*JC35+IQ36*JC36)/JC37</f>
        <v>0</v>
      </c>
      <c r="IR37" s="29">
        <f t="shared" si="608"/>
        <v>0</v>
      </c>
      <c r="IS37" s="78">
        <f>(IS34*JC34+IS35*JC35+IS36*JC36)/JC37</f>
        <v>0</v>
      </c>
      <c r="IT37" s="29">
        <f t="shared" ref="IT37" si="609">SUM(IT34:IT36)</f>
        <v>0</v>
      </c>
      <c r="IU37" s="79">
        <f>(IU34*JC34+IU35*JC35+IU36*JC36)/JC37</f>
        <v>0.33333333333333331</v>
      </c>
      <c r="IV37" s="80">
        <f>(IV34*JC34+IV35*JC35+IV36*JC36)/JC37</f>
        <v>0.33333333333333331</v>
      </c>
      <c r="IW37" s="80">
        <f>(IW34*JC34+IW35*JC35+IW36*JC36)/JC37</f>
        <v>0.66666666666666663</v>
      </c>
      <c r="IX37" s="80">
        <f>(IX34*JC34+IX35*JC35+IX36*JC36)/JC37</f>
        <v>0</v>
      </c>
      <c r="IY37" s="80">
        <f>(IY34*JC34+IY35*JC35+IY36*JC36)/JC37</f>
        <v>7.846119929453263E-2</v>
      </c>
      <c r="IZ37" s="29">
        <f t="shared" ref="IZ37" si="610">SUM(IZ34:IZ36)</f>
        <v>0</v>
      </c>
      <c r="JA37" s="33">
        <f>SUM(JA34:JA36)</f>
        <v>2160</v>
      </c>
      <c r="JB37" s="33">
        <f>SUM(JB34:JB36)</f>
        <v>3559</v>
      </c>
      <c r="JC37" s="29">
        <f>SUM(JC34:JC36)</f>
        <v>63</v>
      </c>
    </row>
    <row r="38" spans="1:263" ht="15" x14ac:dyDescent="0.25">
      <c r="A38" s="16" t="s">
        <v>42</v>
      </c>
      <c r="B38" s="37" t="s">
        <v>47</v>
      </c>
      <c r="C38" s="8">
        <v>0</v>
      </c>
      <c r="D38" s="8">
        <v>0</v>
      </c>
      <c r="E38" s="8">
        <v>0</v>
      </c>
      <c r="F38" s="8">
        <v>744</v>
      </c>
      <c r="G38" s="6">
        <f>(F38/$B$4)</f>
        <v>1</v>
      </c>
      <c r="H38" s="8">
        <v>0</v>
      </c>
      <c r="I38" s="6">
        <f>(H38/$B$4)</f>
        <v>0</v>
      </c>
      <c r="J38" s="6">
        <v>0</v>
      </c>
      <c r="K38" s="6">
        <f>(J38/$B$4)</f>
        <v>0</v>
      </c>
      <c r="L38" s="8">
        <v>0</v>
      </c>
      <c r="M38" s="69">
        <f>(C38/$B$4)</f>
        <v>0</v>
      </c>
      <c r="N38" s="69">
        <f>((C38-L38)/$B$4)</f>
        <v>0</v>
      </c>
      <c r="O38" s="69">
        <f>IF((AND(D38=0,F38=0)),0,(F38+L38)/(D38+F38+L38))</f>
        <v>1</v>
      </c>
      <c r="P38" s="149">
        <f>L38/$B$4</f>
        <v>0</v>
      </c>
      <c r="Q38" s="69">
        <f>(T38/($B$4*U38))</f>
        <v>0</v>
      </c>
      <c r="R38" s="15">
        <v>0</v>
      </c>
      <c r="S38" s="6">
        <f>SUM(D38:F38,H38,J38)</f>
        <v>744</v>
      </c>
      <c r="T38" s="8">
        <v>0</v>
      </c>
      <c r="U38" s="8">
        <v>21</v>
      </c>
      <c r="W38" s="16" t="s">
        <v>42</v>
      </c>
      <c r="X38" s="37" t="s">
        <v>47</v>
      </c>
      <c r="Y38" s="8">
        <v>0</v>
      </c>
      <c r="Z38" s="8">
        <v>0</v>
      </c>
      <c r="AA38" s="8">
        <v>0</v>
      </c>
      <c r="AB38" s="8">
        <v>744</v>
      </c>
      <c r="AC38" s="6">
        <f>(AB38/$X$4)</f>
        <v>1</v>
      </c>
      <c r="AD38" s="8">
        <v>0</v>
      </c>
      <c r="AE38" s="6">
        <f>(AD38/$X$4)</f>
        <v>0</v>
      </c>
      <c r="AF38" s="8">
        <v>0</v>
      </c>
      <c r="AG38" s="6">
        <f>(AF38/$X$4)</f>
        <v>0</v>
      </c>
      <c r="AH38" s="8">
        <v>0</v>
      </c>
      <c r="AI38" s="69">
        <f>(Y38/$X$4)</f>
        <v>0</v>
      </c>
      <c r="AJ38" s="69">
        <f>((Y38-AH38)/$X$4)</f>
        <v>0</v>
      </c>
      <c r="AK38" s="69">
        <f>IF((AND(Z38=0,AB38=0)),0,(AB38+AH38)/(Z38+AB38+AH38))</f>
        <v>1</v>
      </c>
      <c r="AL38" s="149">
        <f>AH38/$X$4</f>
        <v>0</v>
      </c>
      <c r="AM38" s="69">
        <f>(AP38/($X$4*AQ38))</f>
        <v>0</v>
      </c>
      <c r="AN38" s="15">
        <v>0</v>
      </c>
      <c r="AO38" s="6">
        <f>SUM(Z38:AB38,AD38,AF38)</f>
        <v>744</v>
      </c>
      <c r="AP38" s="8">
        <v>0</v>
      </c>
      <c r="AQ38" s="8">
        <v>21</v>
      </c>
      <c r="AS38" s="16" t="s">
        <v>42</v>
      </c>
      <c r="AT38" s="37" t="s">
        <v>47</v>
      </c>
      <c r="AU38" s="8">
        <v>0</v>
      </c>
      <c r="AV38" s="8">
        <v>0</v>
      </c>
      <c r="AW38" s="8">
        <v>0</v>
      </c>
      <c r="AX38" s="8">
        <v>720</v>
      </c>
      <c r="AY38" s="8">
        <f>(AX38/$AT$4)</f>
        <v>1</v>
      </c>
      <c r="AZ38" s="8">
        <v>0</v>
      </c>
      <c r="BA38" s="8">
        <f>(AZ38/$AT$4)</f>
        <v>0</v>
      </c>
      <c r="BB38" s="8">
        <v>0</v>
      </c>
      <c r="BC38" s="8">
        <f>(BB38/$AT$4)</f>
        <v>0</v>
      </c>
      <c r="BD38" s="8">
        <v>0</v>
      </c>
      <c r="BE38" s="69">
        <f>(AU38/$AT$4)</f>
        <v>0</v>
      </c>
      <c r="BF38" s="69">
        <f>((AU38-BD38)/$AT$4)</f>
        <v>0</v>
      </c>
      <c r="BG38" s="69">
        <f>IF((AND(AV38=0,AX38=0)),0,(AX38+BD38)/(AV38+AX38+BD38))</f>
        <v>1</v>
      </c>
      <c r="BH38" s="149">
        <f>BD38/$AT$4</f>
        <v>0</v>
      </c>
      <c r="BI38" s="69">
        <f>(BL38/($AT$4*BM38))</f>
        <v>0</v>
      </c>
      <c r="BJ38" s="6"/>
      <c r="BK38" s="6">
        <f>SUM(AV38:AX38,AZ38,BB38)</f>
        <v>720</v>
      </c>
      <c r="BL38" s="8">
        <v>0</v>
      </c>
      <c r="BM38" s="8">
        <v>21</v>
      </c>
      <c r="BO38" s="16" t="s">
        <v>42</v>
      </c>
      <c r="BP38" s="37" t="s">
        <v>47</v>
      </c>
      <c r="BQ38" s="8">
        <v>0</v>
      </c>
      <c r="BR38" s="8">
        <v>0</v>
      </c>
      <c r="BS38" s="8">
        <v>0</v>
      </c>
      <c r="BT38" s="8">
        <v>744</v>
      </c>
      <c r="BU38" s="6">
        <f>(BT38/$BP$4)</f>
        <v>1</v>
      </c>
      <c r="BV38" s="8">
        <v>0</v>
      </c>
      <c r="BW38" s="6">
        <f>(BV38/$BP$4)</f>
        <v>0</v>
      </c>
      <c r="BX38" s="8">
        <v>0</v>
      </c>
      <c r="BY38" s="6">
        <f>(BX38/$BP$4)</f>
        <v>0</v>
      </c>
      <c r="BZ38" s="8">
        <v>0</v>
      </c>
      <c r="CA38" s="69">
        <f>(BQ38/$BP$4)</f>
        <v>0</v>
      </c>
      <c r="CB38" s="69">
        <f>((BQ38-BZ38)/$BP$4)</f>
        <v>0</v>
      </c>
      <c r="CC38" s="149">
        <f>IF((AND(BR38=0,BT38=0)),0,(BT38+BZ38)/(BR38+BT38+BZ38))</f>
        <v>1</v>
      </c>
      <c r="CD38" s="149">
        <f>BZ38/$BP$4</f>
        <v>0</v>
      </c>
      <c r="CE38" s="69">
        <f>(CH38/($BP$4*CI38))</f>
        <v>0</v>
      </c>
      <c r="CF38" s="69"/>
      <c r="CG38" s="42">
        <f>SUM(BR38:BT38,BV38,BX38)</f>
        <v>744</v>
      </c>
      <c r="CH38" s="8">
        <v>0</v>
      </c>
      <c r="CI38" s="8">
        <v>21</v>
      </c>
      <c r="CK38" s="16" t="s">
        <v>42</v>
      </c>
      <c r="CL38" s="37" t="s">
        <v>47</v>
      </c>
      <c r="CM38" s="8">
        <v>0</v>
      </c>
      <c r="CN38" s="8">
        <v>0</v>
      </c>
      <c r="CO38" s="8">
        <v>0</v>
      </c>
      <c r="CP38" s="8">
        <v>720</v>
      </c>
      <c r="CQ38" s="6">
        <f>(CP38/$CL$4)</f>
        <v>1</v>
      </c>
      <c r="CR38" s="8">
        <v>0</v>
      </c>
      <c r="CS38" s="6">
        <f>(CR38/$CL$4)</f>
        <v>0</v>
      </c>
      <c r="CT38" s="8">
        <v>0</v>
      </c>
      <c r="CU38" s="6">
        <f>(CT38/$CL$4)</f>
        <v>0</v>
      </c>
      <c r="CV38" s="8">
        <v>0</v>
      </c>
      <c r="CW38" s="69">
        <f>(CM38/$CL$4)</f>
        <v>0</v>
      </c>
      <c r="CX38" s="69">
        <f>((CM38-CV38)/$CL$4)</f>
        <v>0</v>
      </c>
      <c r="CY38" s="149">
        <f>IF((AND(CN38=0,CP38=0)),0,(CP38+CV38)/(CN38+CP38+CV38))</f>
        <v>1</v>
      </c>
      <c r="CZ38" s="149">
        <f>CV38/$CL$4</f>
        <v>0</v>
      </c>
      <c r="DA38" s="69">
        <f>(DD38/($CL$4*DE38))</f>
        <v>0</v>
      </c>
      <c r="DB38" s="6"/>
      <c r="DC38" s="6">
        <f>SUM(CN38:CP38,CR38,CT38)</f>
        <v>720</v>
      </c>
      <c r="DD38" s="8">
        <v>0</v>
      </c>
      <c r="DE38" s="8">
        <v>21</v>
      </c>
      <c r="DG38" s="16" t="s">
        <v>42</v>
      </c>
      <c r="DH38" s="37" t="s">
        <v>47</v>
      </c>
      <c r="DI38" s="8">
        <v>24</v>
      </c>
      <c r="DJ38" s="8">
        <v>0</v>
      </c>
      <c r="DK38" s="8">
        <v>24</v>
      </c>
      <c r="DL38" s="8">
        <v>720</v>
      </c>
      <c r="DM38" s="69">
        <f>(DL38/$DH$4)</f>
        <v>0.967741935483871</v>
      </c>
      <c r="DN38" s="8">
        <v>0</v>
      </c>
      <c r="DO38" s="69">
        <f>(DN38/$DH$4)</f>
        <v>0</v>
      </c>
      <c r="DP38" s="6">
        <v>0</v>
      </c>
      <c r="DQ38" s="69">
        <f>(DP38/$DH$4)</f>
        <v>0</v>
      </c>
      <c r="DR38" s="8">
        <v>0</v>
      </c>
      <c r="DS38" s="69">
        <f>(DI38/$X$4)</f>
        <v>3.2258064516129031E-2</v>
      </c>
      <c r="DT38" s="69">
        <f>((DI38-DR38)/$DH$4)</f>
        <v>3.2258064516129031E-2</v>
      </c>
      <c r="DU38" s="149">
        <f>IF((AND(DJ38=0,DL38=0)),0,(DL38+DR38)/(DJ38+DL38+DR38))</f>
        <v>1</v>
      </c>
      <c r="DV38" s="149">
        <f>DR38/$DH$4</f>
        <v>0</v>
      </c>
      <c r="DW38" s="69">
        <f>(DZ38/($DH$4*EA38))</f>
        <v>0</v>
      </c>
      <c r="DX38" s="69"/>
      <c r="DY38" s="15">
        <f>SUM(DJ38:DL38,DN38,DP38)</f>
        <v>744</v>
      </c>
      <c r="DZ38" s="8">
        <v>0</v>
      </c>
      <c r="EA38" s="8">
        <v>21</v>
      </c>
      <c r="EC38" s="16" t="s">
        <v>42</v>
      </c>
      <c r="ED38" s="37" t="s">
        <v>47</v>
      </c>
      <c r="EE38" s="8">
        <v>0</v>
      </c>
      <c r="EF38" s="8">
        <v>0</v>
      </c>
      <c r="EG38" s="8">
        <v>0</v>
      </c>
      <c r="EH38" s="8">
        <v>744</v>
      </c>
      <c r="EI38" s="6">
        <f>(EH38/$ED$4)</f>
        <v>1</v>
      </c>
      <c r="EJ38" s="8">
        <v>0</v>
      </c>
      <c r="EK38" s="6">
        <f>(EJ38/$ED$4)</f>
        <v>0</v>
      </c>
      <c r="EL38" s="6">
        <v>0</v>
      </c>
      <c r="EM38" s="6">
        <f>(EL38/$ED$4)</f>
        <v>0</v>
      </c>
      <c r="EN38" s="8">
        <v>0</v>
      </c>
      <c r="EO38" s="69">
        <f>(EE38/$X$4)</f>
        <v>0</v>
      </c>
      <c r="EP38" s="69">
        <f>((EE38-EN38)/$ED$4)</f>
        <v>0</v>
      </c>
      <c r="EQ38" s="149">
        <f>IF((AND(EF38=0,EH38=0)),0,(EH38+EN38)/(EF38+EH38+EN38))</f>
        <v>1</v>
      </c>
      <c r="ER38" s="149">
        <f>EN38/$ED$4</f>
        <v>0</v>
      </c>
      <c r="ES38" s="69">
        <f>(EV38/($ED$4*EW38))</f>
        <v>0</v>
      </c>
      <c r="ET38" s="6"/>
      <c r="EU38" s="6">
        <f>SUM(EF38:EH38,EJ38,EL38)</f>
        <v>744</v>
      </c>
      <c r="EV38" s="8">
        <v>0</v>
      </c>
      <c r="EW38" s="8">
        <v>21</v>
      </c>
      <c r="EY38" s="16" t="s">
        <v>42</v>
      </c>
      <c r="EZ38" s="37" t="s">
        <v>47</v>
      </c>
      <c r="FA38" s="8">
        <v>0</v>
      </c>
      <c r="FB38" s="8">
        <v>0</v>
      </c>
      <c r="FC38" s="8">
        <v>0</v>
      </c>
      <c r="FD38" s="8">
        <v>672</v>
      </c>
      <c r="FE38" s="6">
        <f>(FD38/$EZ$4)</f>
        <v>1</v>
      </c>
      <c r="FF38" s="8">
        <v>0</v>
      </c>
      <c r="FG38" s="6">
        <f>(FF38/$EZ$4)</f>
        <v>0</v>
      </c>
      <c r="FH38" s="6">
        <v>0</v>
      </c>
      <c r="FI38" s="6">
        <f>(FH38/$EZ$4)</f>
        <v>0</v>
      </c>
      <c r="FJ38" s="8">
        <v>0</v>
      </c>
      <c r="FK38" s="69">
        <f>(FA38/$X$4)</f>
        <v>0</v>
      </c>
      <c r="FL38" s="69">
        <f>((FA38-FJ38)/$EZ$4)</f>
        <v>0</v>
      </c>
      <c r="FM38" s="149">
        <f>IF((AND(FB38=0,FD38=0)),0,(FD38+FJ38)/(FB38+FD38+FJ38))</f>
        <v>1</v>
      </c>
      <c r="FN38" s="149">
        <f>FJ38/$EZ$4</f>
        <v>0</v>
      </c>
      <c r="FO38" s="69">
        <f>(FR38/($EZ$4*FS38))</f>
        <v>0</v>
      </c>
      <c r="FP38" s="6"/>
      <c r="FQ38" s="6">
        <f>SUM(FB38:FD38,FF38,FH38)</f>
        <v>672</v>
      </c>
      <c r="FR38" s="8">
        <v>0</v>
      </c>
      <c r="FS38" s="8">
        <v>21</v>
      </c>
      <c r="FU38" s="16" t="s">
        <v>42</v>
      </c>
      <c r="FV38" s="37" t="s">
        <v>47</v>
      </c>
      <c r="FW38" s="8">
        <v>0</v>
      </c>
      <c r="FX38" s="8">
        <v>0</v>
      </c>
      <c r="FY38" s="8">
        <v>0</v>
      </c>
      <c r="FZ38" s="8">
        <v>744</v>
      </c>
      <c r="GA38" s="69">
        <f>(FZ38/$FV$4)</f>
        <v>1</v>
      </c>
      <c r="GB38" s="8">
        <v>0</v>
      </c>
      <c r="GC38" s="69">
        <f>(GB38/$FV$4)</f>
        <v>0</v>
      </c>
      <c r="GD38" s="6">
        <v>0</v>
      </c>
      <c r="GE38" s="6">
        <f>(GD38/$FV$4)</f>
        <v>0</v>
      </c>
      <c r="GF38" s="8">
        <v>0</v>
      </c>
      <c r="GG38" s="69">
        <f>(FW38/$X$4)</f>
        <v>0</v>
      </c>
      <c r="GH38" s="69">
        <f>((FW38-GF38)/$FV$4)</f>
        <v>0</v>
      </c>
      <c r="GI38" s="149">
        <f>IF((AND(FX38=0,FZ38=0)),0,(FZ38+GF38)/(FX38+FZ38+GF38))</f>
        <v>1</v>
      </c>
      <c r="GJ38" s="149">
        <f>GF38/$FV$4</f>
        <v>0</v>
      </c>
      <c r="GK38" s="69">
        <f>(GN38/($FV$4*GO38))</f>
        <v>0</v>
      </c>
      <c r="GL38" s="69"/>
      <c r="GM38" s="6">
        <f>SUM(FX38:FZ38,GB38,GD38)</f>
        <v>744</v>
      </c>
      <c r="GN38" s="8">
        <v>0</v>
      </c>
      <c r="GO38" s="8">
        <v>21</v>
      </c>
      <c r="GQ38" s="16" t="s">
        <v>42</v>
      </c>
      <c r="GR38" s="37" t="s">
        <v>47</v>
      </c>
      <c r="GS38" s="8">
        <v>0</v>
      </c>
      <c r="GT38" s="8">
        <v>0</v>
      </c>
      <c r="GU38" s="8">
        <v>0</v>
      </c>
      <c r="GV38" s="8">
        <v>720</v>
      </c>
      <c r="GW38" s="6">
        <f>(GV38/$GR$4)</f>
        <v>1</v>
      </c>
      <c r="GX38" s="8">
        <v>0</v>
      </c>
      <c r="GY38" s="8">
        <f>(GX38/$GR$4)</f>
        <v>0</v>
      </c>
      <c r="GZ38" s="8">
        <v>0</v>
      </c>
      <c r="HA38" s="6">
        <f>(GZ38/$GR$4)</f>
        <v>0</v>
      </c>
      <c r="HB38" s="8">
        <v>0</v>
      </c>
      <c r="HC38" s="69">
        <f>(GS38/$X$4)*100</f>
        <v>0</v>
      </c>
      <c r="HD38" s="69">
        <f>((GS38-HB38)/$GR$4)</f>
        <v>0</v>
      </c>
      <c r="HE38" s="149">
        <f>IF((AND(GT38=0,GV38=0)),0,(GV38+HB38)/(GT38+GV38+HB38))</f>
        <v>1</v>
      </c>
      <c r="HF38" s="149">
        <f>HB38/$GR$4</f>
        <v>0</v>
      </c>
      <c r="HG38" s="69">
        <f>(HJ38/($GR$4*HK38))*100</f>
        <v>0</v>
      </c>
      <c r="HH38" s="15">
        <v>0</v>
      </c>
      <c r="HI38" s="6">
        <f>SUM(GT38:GV38,GX38,GZ38)</f>
        <v>720</v>
      </c>
      <c r="HJ38" s="8">
        <v>0</v>
      </c>
      <c r="HK38" s="8">
        <v>21</v>
      </c>
      <c r="HM38" s="16" t="s">
        <v>42</v>
      </c>
      <c r="HN38" s="37" t="s">
        <v>47</v>
      </c>
      <c r="HO38" s="8">
        <v>0</v>
      </c>
      <c r="HP38" s="8">
        <v>0</v>
      </c>
      <c r="HQ38" s="8">
        <v>0</v>
      </c>
      <c r="HR38" s="8">
        <v>744</v>
      </c>
      <c r="HS38" s="6">
        <f>(HR38/$HN$4)</f>
        <v>1</v>
      </c>
      <c r="HT38" s="8">
        <v>0</v>
      </c>
      <c r="HU38" s="6">
        <f>(HT38/$HN$4)</f>
        <v>0</v>
      </c>
      <c r="HV38" s="8">
        <v>0</v>
      </c>
      <c r="HW38" s="6">
        <f>(HV38/$HN$4)</f>
        <v>0</v>
      </c>
      <c r="HX38" s="8">
        <v>0</v>
      </c>
      <c r="HY38" s="69">
        <f>(HO38/$HN$4)</f>
        <v>0</v>
      </c>
      <c r="HZ38" s="69">
        <f>((HO38-HX38)/$HN$4)</f>
        <v>0</v>
      </c>
      <c r="IA38" s="69">
        <f>IF((AND(HP38=0,HR38=0)),0,(HR38+HX38)/(HP38+HR38))</f>
        <v>1</v>
      </c>
      <c r="IB38" s="149">
        <f>HX38/$HN$4</f>
        <v>0</v>
      </c>
      <c r="IC38" s="69">
        <f>(IF38/($HN$4*IG38))</f>
        <v>0</v>
      </c>
      <c r="ID38" s="15">
        <v>0</v>
      </c>
      <c r="IE38" s="6">
        <f>SUM(HP38:HR38,HT38,HV38)</f>
        <v>744</v>
      </c>
      <c r="IF38" s="8">
        <v>0</v>
      </c>
      <c r="IG38" s="8">
        <v>21</v>
      </c>
      <c r="II38" s="16" t="s">
        <v>42</v>
      </c>
      <c r="IJ38" s="37" t="s">
        <v>47</v>
      </c>
      <c r="IK38" s="53">
        <v>0</v>
      </c>
      <c r="IL38" s="53">
        <v>0</v>
      </c>
      <c r="IM38" s="53">
        <v>0</v>
      </c>
      <c r="IN38" s="53">
        <v>720</v>
      </c>
      <c r="IO38" s="69">
        <f>(IN38/$IJ$4)</f>
        <v>1</v>
      </c>
      <c r="IP38" s="8">
        <v>0</v>
      </c>
      <c r="IQ38" s="69">
        <f>(IP38/$IJ$4)</f>
        <v>0</v>
      </c>
      <c r="IR38" s="8">
        <v>0</v>
      </c>
      <c r="IS38" s="69">
        <f>(IR38/$IJ$4)</f>
        <v>0</v>
      </c>
      <c r="IT38" s="8">
        <v>0</v>
      </c>
      <c r="IU38" s="69">
        <f>(IK38/$IJ$4)</f>
        <v>0</v>
      </c>
      <c r="IV38" s="164">
        <f>((IK38-IT38)/$IJ$4)</f>
        <v>0</v>
      </c>
      <c r="IW38" s="164">
        <f>IF((AND(IL38=0,IN38=0)),0,(IN38+IT38)/(IL38+IN38+IT38))</f>
        <v>1</v>
      </c>
      <c r="IX38" s="149">
        <f>IT38/$IJ$4</f>
        <v>0</v>
      </c>
      <c r="IY38" s="69">
        <f>(JB38/($IJ$4*JC38))</f>
        <v>0</v>
      </c>
      <c r="IZ38" s="15">
        <v>0</v>
      </c>
      <c r="JA38" s="15">
        <f>SUM(IL38:IN38,IP38,IR38)</f>
        <v>720</v>
      </c>
      <c r="JB38" s="8">
        <v>0</v>
      </c>
      <c r="JC38" s="8">
        <v>21</v>
      </c>
    </row>
    <row r="39" spans="1:263" ht="15" x14ac:dyDescent="0.25">
      <c r="A39" s="16" t="s">
        <v>43</v>
      </c>
      <c r="B39" s="37" t="s">
        <v>48</v>
      </c>
      <c r="C39" s="8">
        <v>24</v>
      </c>
      <c r="D39" s="8">
        <v>2.2000000000000002</v>
      </c>
      <c r="E39" s="8">
        <v>21.8</v>
      </c>
      <c r="F39" s="8">
        <v>720</v>
      </c>
      <c r="G39" s="6">
        <f>(F39/$B$4)</f>
        <v>0.967741935483871</v>
      </c>
      <c r="H39" s="8">
        <v>0</v>
      </c>
      <c r="I39" s="6">
        <f>(H39/$B$4)</f>
        <v>0</v>
      </c>
      <c r="J39" s="6">
        <v>0</v>
      </c>
      <c r="K39" s="6">
        <f>(J39/$B$4)</f>
        <v>0</v>
      </c>
      <c r="L39" s="8">
        <v>0</v>
      </c>
      <c r="M39" s="69">
        <f>(C39/$B$4)</f>
        <v>3.2258064516129031E-2</v>
      </c>
      <c r="N39" s="69">
        <f>((C39-L39)/$B$4)</f>
        <v>3.2258064516129031E-2</v>
      </c>
      <c r="O39" s="69">
        <f>IF((AND(D39=0,F39=0)),0,(F39+L39)/(D39+F39+L39))</f>
        <v>0.99695375242315143</v>
      </c>
      <c r="P39" s="149">
        <f>L39/$B$4</f>
        <v>0</v>
      </c>
      <c r="Q39" s="69">
        <f>(T39/($B$4*U39))</f>
        <v>2.1121351766513058E-3</v>
      </c>
      <c r="R39" s="15">
        <v>0</v>
      </c>
      <c r="S39" s="6">
        <f t="shared" ref="S39" si="611">SUM(D39:F39,H39,J39)</f>
        <v>744</v>
      </c>
      <c r="T39" s="8">
        <v>33</v>
      </c>
      <c r="U39" s="8">
        <v>21</v>
      </c>
      <c r="W39" s="16" t="s">
        <v>43</v>
      </c>
      <c r="X39" s="37" t="s">
        <v>48</v>
      </c>
      <c r="Y39" s="8">
        <v>3.7</v>
      </c>
      <c r="Z39" s="8">
        <v>2.7</v>
      </c>
      <c r="AA39" s="8">
        <v>1</v>
      </c>
      <c r="AB39" s="8">
        <v>740.3</v>
      </c>
      <c r="AC39" s="6">
        <f>(AB39/$X$4)</f>
        <v>0.99502688172043008</v>
      </c>
      <c r="AD39" s="8">
        <v>0</v>
      </c>
      <c r="AE39" s="6">
        <f>(AD39/$X$4)</f>
        <v>0</v>
      </c>
      <c r="AF39" s="8">
        <v>0</v>
      </c>
      <c r="AG39" s="6">
        <f>(AF39/$X$4)</f>
        <v>0</v>
      </c>
      <c r="AH39" s="8">
        <v>0</v>
      </c>
      <c r="AI39" s="69">
        <f>(Y39/$X$4)</f>
        <v>4.9731182795698927E-3</v>
      </c>
      <c r="AJ39" s="69">
        <f>((Y39-AH39)/$X$4)</f>
        <v>4.9731182795698927E-3</v>
      </c>
      <c r="AK39" s="69">
        <f>IF((AND(Z39=0,AB39=0)),0,(AB39+AH39)/(Z39+AB39+AH39))</f>
        <v>0.99636608344549116</v>
      </c>
      <c r="AL39" s="149">
        <f>AH39/$X$4</f>
        <v>0</v>
      </c>
      <c r="AM39" s="69">
        <f>(AP39/($X$4*AQ39))</f>
        <v>2.3681515616999489E-3</v>
      </c>
      <c r="AN39" s="15">
        <v>0</v>
      </c>
      <c r="AO39" s="6">
        <f t="shared" ref="AO39" si="612">SUM(Z39:AB39,AD39,AF39)</f>
        <v>744</v>
      </c>
      <c r="AP39" s="8">
        <v>37</v>
      </c>
      <c r="AQ39" s="8">
        <v>21</v>
      </c>
      <c r="AS39" s="16" t="s">
        <v>43</v>
      </c>
      <c r="AT39" s="37" t="s">
        <v>48</v>
      </c>
      <c r="AU39" s="8">
        <v>9.8000000000000007</v>
      </c>
      <c r="AV39" s="8">
        <v>9.8000000000000007</v>
      </c>
      <c r="AW39" s="8">
        <v>0</v>
      </c>
      <c r="AX39" s="8">
        <v>710.2</v>
      </c>
      <c r="AY39" s="6">
        <f>(AX39/$AT$4)</f>
        <v>0.98638888888888898</v>
      </c>
      <c r="AZ39" s="8">
        <v>0</v>
      </c>
      <c r="BA39" s="6">
        <f>(AZ39/$AT$4)</f>
        <v>0</v>
      </c>
      <c r="BB39" s="8">
        <v>0</v>
      </c>
      <c r="BC39" s="6">
        <f>(BB39/$AT$4)</f>
        <v>0</v>
      </c>
      <c r="BD39" s="8">
        <v>0</v>
      </c>
      <c r="BE39" s="69">
        <f t="shared" ref="BE39" si="613">(AU39/$AT$4)</f>
        <v>1.3611111111111112E-2</v>
      </c>
      <c r="BF39" s="69">
        <f t="shared" ref="BF39" si="614">((AU39-BD39)/$AT$4)</f>
        <v>1.3611111111111112E-2</v>
      </c>
      <c r="BG39" s="69">
        <f t="shared" ref="BG39" si="615">IF((AND(AV39=0,AX39=0)),0,(AX39+BD39)/(AV39+AX39+BD39))</f>
        <v>0.98638888888888898</v>
      </c>
      <c r="BH39" s="149">
        <f t="shared" ref="BH39" si="616">BD39/$AT$4</f>
        <v>0</v>
      </c>
      <c r="BI39" s="69">
        <f t="shared" ref="BI39" si="617">(BL39/($AT$4*BM39))</f>
        <v>1.2050264550264549E-2</v>
      </c>
      <c r="BJ39" s="6"/>
      <c r="BK39" s="6">
        <f t="shared" ref="BK39" si="618">SUM(AV39:AX39,AZ39,BB39)</f>
        <v>720</v>
      </c>
      <c r="BL39" s="8">
        <v>182.2</v>
      </c>
      <c r="BM39" s="8">
        <v>21</v>
      </c>
      <c r="BO39" s="16" t="s">
        <v>43</v>
      </c>
      <c r="BP39" s="37" t="s">
        <v>48</v>
      </c>
      <c r="BQ39" s="8">
        <f>744-BT39-BV39-BX39</f>
        <v>48.200000000000045</v>
      </c>
      <c r="BR39" s="8">
        <v>48.2</v>
      </c>
      <c r="BS39" s="8">
        <v>0</v>
      </c>
      <c r="BT39" s="8">
        <v>695.8</v>
      </c>
      <c r="BU39" s="6">
        <f t="shared" ref="BU39:BW39" si="619">(BT39/$BP$4)</f>
        <v>0.93521505376344083</v>
      </c>
      <c r="BV39" s="8">
        <v>0</v>
      </c>
      <c r="BW39" s="6">
        <f t="shared" si="619"/>
        <v>0</v>
      </c>
      <c r="BX39" s="8">
        <v>0</v>
      </c>
      <c r="BY39" s="6">
        <f t="shared" ref="BY39" si="620">(BX39/$BP$4)</f>
        <v>0</v>
      </c>
      <c r="BZ39" s="8">
        <v>0</v>
      </c>
      <c r="CA39" s="69">
        <f t="shared" ref="CA39" si="621">(BQ39/$BP$4)</f>
        <v>6.4784946236559199E-2</v>
      </c>
      <c r="CB39" s="69">
        <f t="shared" ref="CB39" si="622">((BQ39-BZ39)/$BP$4)</f>
        <v>6.4784946236559199E-2</v>
      </c>
      <c r="CC39" s="149">
        <f t="shared" ref="CC39" si="623">IF((AND(BR39=0,BT39=0)),0,(BT39+BZ39)/(BR39+BT39+BZ39))</f>
        <v>0.93521505376344083</v>
      </c>
      <c r="CD39" s="149">
        <f t="shared" ref="CD39" si="624">BZ39/$BP$4</f>
        <v>0</v>
      </c>
      <c r="CE39" s="69">
        <f t="shared" ref="CE39" si="625">(CH39/($BP$4*CI39))</f>
        <v>5.4531490015360985E-2</v>
      </c>
      <c r="CF39" s="69"/>
      <c r="CG39" s="42">
        <f t="shared" ref="CG39" si="626">SUM(BR39:BT39,BV39,BX39)</f>
        <v>744</v>
      </c>
      <c r="CH39" s="8">
        <v>852</v>
      </c>
      <c r="CI39" s="8">
        <v>21</v>
      </c>
      <c r="CK39" s="16" t="s">
        <v>43</v>
      </c>
      <c r="CL39" s="37" t="s">
        <v>48</v>
      </c>
      <c r="CM39" s="8">
        <v>6.2</v>
      </c>
      <c r="CN39" s="8">
        <v>6.2</v>
      </c>
      <c r="CO39" s="8">
        <v>0</v>
      </c>
      <c r="CP39" s="8">
        <v>713.8</v>
      </c>
      <c r="CQ39" s="6">
        <f t="shared" ref="CQ39:CS39" si="627">(CP39/$CL$4)</f>
        <v>0.99138888888888888</v>
      </c>
      <c r="CR39" s="8">
        <v>0</v>
      </c>
      <c r="CS39" s="6">
        <f t="shared" si="627"/>
        <v>0</v>
      </c>
      <c r="CT39" s="8">
        <v>0</v>
      </c>
      <c r="CU39" s="6">
        <f t="shared" ref="CU39" si="628">(CT39/$CL$4)</f>
        <v>0</v>
      </c>
      <c r="CV39" s="8">
        <v>0</v>
      </c>
      <c r="CW39" s="69">
        <f t="shared" ref="CW39" si="629">(CM39/$CL$4)</f>
        <v>8.611111111111111E-3</v>
      </c>
      <c r="CX39" s="69">
        <f t="shared" ref="CX39" si="630">((CM39-CV39)/$CL$4)</f>
        <v>8.611111111111111E-3</v>
      </c>
      <c r="CY39" s="149">
        <f t="shared" ref="CY39" si="631">IF((AND(CN39=0,CP39=0)),0,(CP39+CV39)/(CN39+CP39+CV39))</f>
        <v>0.99138888888888888</v>
      </c>
      <c r="CZ39" s="149">
        <f t="shared" ref="CZ39" si="632">CV39/$CL$4</f>
        <v>0</v>
      </c>
      <c r="DA39" s="69">
        <f t="shared" ref="DA39" si="633">(DD39/($CL$4*DE39))</f>
        <v>7.9365079365079361E-3</v>
      </c>
      <c r="DB39" s="6"/>
      <c r="DC39" s="6">
        <f t="shared" ref="DC39" si="634">SUM(CN39:CP39,CR39,CT39)</f>
        <v>720</v>
      </c>
      <c r="DD39" s="8">
        <v>120</v>
      </c>
      <c r="DE39" s="8">
        <v>21</v>
      </c>
      <c r="DG39" s="16" t="s">
        <v>43</v>
      </c>
      <c r="DH39" s="37" t="s">
        <v>48</v>
      </c>
      <c r="DI39" s="8">
        <v>12.6</v>
      </c>
      <c r="DJ39" s="8">
        <v>12.6</v>
      </c>
      <c r="DK39" s="8">
        <v>0</v>
      </c>
      <c r="DL39" s="8">
        <v>731.4</v>
      </c>
      <c r="DM39" s="69">
        <f>(DL39/$DH$4)</f>
        <v>0.98306451612903223</v>
      </c>
      <c r="DN39" s="8">
        <v>0</v>
      </c>
      <c r="DO39" s="69">
        <f>(DN39/$DH$4)</f>
        <v>0</v>
      </c>
      <c r="DP39" s="6">
        <v>0</v>
      </c>
      <c r="DQ39" s="69">
        <f>(DP39/$DH$4)</f>
        <v>0</v>
      </c>
      <c r="DR39" s="8">
        <v>0</v>
      </c>
      <c r="DS39" s="69">
        <f t="shared" ref="DS39" si="635">(DI39/$X$4)</f>
        <v>1.693548387096774E-2</v>
      </c>
      <c r="DT39" s="69">
        <f t="shared" ref="DT39" si="636">((DI39-DR39)/$DH$4)</f>
        <v>1.693548387096774E-2</v>
      </c>
      <c r="DU39" s="149">
        <f t="shared" ref="DU39" si="637">IF((AND(DJ39=0,DL39=0)),0,(DL39+DR39)/(DJ39+DL39+DR39))</f>
        <v>0.98306451612903223</v>
      </c>
      <c r="DV39" s="149">
        <f t="shared" ref="DV39" si="638">DR39/$DH$4</f>
        <v>0</v>
      </c>
      <c r="DW39" s="69">
        <f t="shared" ref="DW39" si="639">(DZ39/($DH$4*EA39))</f>
        <v>3.7122375832053254E-3</v>
      </c>
      <c r="DX39" s="69"/>
      <c r="DY39" s="15">
        <f t="shared" ref="DY39" si="640">SUM(DJ39:DL39,DN39,DP39)</f>
        <v>744</v>
      </c>
      <c r="DZ39" s="8">
        <v>58</v>
      </c>
      <c r="EA39" s="8">
        <v>21</v>
      </c>
      <c r="EC39" s="16" t="s">
        <v>43</v>
      </c>
      <c r="ED39" s="37" t="s">
        <v>48</v>
      </c>
      <c r="EE39" s="8">
        <v>21.6</v>
      </c>
      <c r="EF39" s="8">
        <v>21.6</v>
      </c>
      <c r="EG39" s="8">
        <v>0</v>
      </c>
      <c r="EH39" s="8">
        <v>722.4</v>
      </c>
      <c r="EI39" s="6">
        <f>(EH39/$ED$4)</f>
        <v>0.97096774193548385</v>
      </c>
      <c r="EJ39" s="8">
        <v>0</v>
      </c>
      <c r="EK39" s="6">
        <f>(EJ39/$ED$4)</f>
        <v>0</v>
      </c>
      <c r="EL39" s="6">
        <v>0</v>
      </c>
      <c r="EM39" s="6">
        <f>(EL39/$ED$4)</f>
        <v>0</v>
      </c>
      <c r="EN39" s="8">
        <v>0</v>
      </c>
      <c r="EO39" s="69">
        <f>(EE39/$X$4)</f>
        <v>2.903225806451613E-2</v>
      </c>
      <c r="EP39" s="69">
        <f>((EE39-EN39)/$ED$4)</f>
        <v>2.903225806451613E-2</v>
      </c>
      <c r="EQ39" s="149">
        <f t="shared" ref="EQ39" si="641">IF((AND(EF39=0,EH39=0)),0,(EH39+EN39)/(EF39+EH39+EN39))</f>
        <v>0.97096774193548385</v>
      </c>
      <c r="ER39" s="149">
        <f>EN39/$ED$4</f>
        <v>0</v>
      </c>
      <c r="ES39" s="69">
        <f>(EV39/($ED$4*EW39))</f>
        <v>2.5153609831029187E-2</v>
      </c>
      <c r="ET39" s="6"/>
      <c r="EU39" s="6">
        <f t="shared" ref="EU39" si="642">SUM(EF39:EH39,EJ39,EL39)</f>
        <v>744</v>
      </c>
      <c r="EV39" s="8">
        <v>393</v>
      </c>
      <c r="EW39" s="8">
        <v>21</v>
      </c>
      <c r="EY39" s="16" t="s">
        <v>43</v>
      </c>
      <c r="EZ39" s="37" t="s">
        <v>48</v>
      </c>
      <c r="FA39" s="8">
        <f>FB39+FC39</f>
        <v>9.9</v>
      </c>
      <c r="FB39" s="8">
        <v>4.7</v>
      </c>
      <c r="FC39" s="8">
        <v>5.2</v>
      </c>
      <c r="FD39" s="8">
        <v>662.1</v>
      </c>
      <c r="FE39" s="6">
        <f>(FD39/$EZ$4)</f>
        <v>0.98526785714285714</v>
      </c>
      <c r="FF39" s="8">
        <v>0</v>
      </c>
      <c r="FG39" s="6">
        <f>(FF39/$EZ$4)</f>
        <v>0</v>
      </c>
      <c r="FH39" s="6">
        <v>0</v>
      </c>
      <c r="FI39" s="6">
        <f>(FH39/$EZ$4)</f>
        <v>0</v>
      </c>
      <c r="FJ39" s="8">
        <v>0</v>
      </c>
      <c r="FK39" s="69">
        <f>(FA39/$X$4)</f>
        <v>1.3306451612903227E-2</v>
      </c>
      <c r="FL39" s="69">
        <f>((FA39-FJ39)/$EZ$4)</f>
        <v>1.4732142857142857E-2</v>
      </c>
      <c r="FM39" s="149">
        <f>IF((AND(FB39=0,FD39=0)),0,(FD39+FJ39)/(FB39+FD39+FJ39))</f>
        <v>0.99295140971805629</v>
      </c>
      <c r="FN39" s="149">
        <f>FJ39/$EZ$4</f>
        <v>0</v>
      </c>
      <c r="FO39" s="69">
        <f>(FR39/($EZ$4*FS39))</f>
        <v>5.5272108843537416E-3</v>
      </c>
      <c r="FP39" s="6"/>
      <c r="FQ39" s="6">
        <f t="shared" ref="FQ39" si="643">SUM(FB39:FD39,FF39,FH39)</f>
        <v>672</v>
      </c>
      <c r="FR39" s="8">
        <v>78</v>
      </c>
      <c r="FS39" s="8">
        <v>21</v>
      </c>
      <c r="FU39" s="16" t="s">
        <v>43</v>
      </c>
      <c r="FV39" s="37" t="s">
        <v>48</v>
      </c>
      <c r="FW39" s="8">
        <f>FX39+FY39</f>
        <v>6.9</v>
      </c>
      <c r="FX39" s="8">
        <v>1.2</v>
      </c>
      <c r="FY39" s="8">
        <v>5.7</v>
      </c>
      <c r="FZ39" s="8">
        <v>737.1</v>
      </c>
      <c r="GA39" s="69">
        <f>(FZ39/$FV$4)</f>
        <v>0.9907258064516129</v>
      </c>
      <c r="GB39" s="8">
        <v>0</v>
      </c>
      <c r="GC39" s="69">
        <f>(GB39/$FV$4)</f>
        <v>0</v>
      </c>
      <c r="GD39" s="6">
        <v>0</v>
      </c>
      <c r="GE39" s="6">
        <f>(GD39/$FV$4)</f>
        <v>0</v>
      </c>
      <c r="GF39" s="8">
        <v>0</v>
      </c>
      <c r="GG39" s="69">
        <f>(FW39/$X$4)</f>
        <v>9.2741935483870979E-3</v>
      </c>
      <c r="GH39" s="69">
        <f>((FW39-GF39)/$FV$4)</f>
        <v>9.2741935483870979E-3</v>
      </c>
      <c r="GI39" s="149">
        <f>IF((AND(FX39=0,FZ39=0)),0,(FZ39+GF39)/(FX39+FZ39+GF39))</f>
        <v>0.99837464445347412</v>
      </c>
      <c r="GJ39" s="149">
        <f>GF39/$FV$4</f>
        <v>0</v>
      </c>
      <c r="GK39" s="69">
        <f>(GN39/($FV$4*GO39))</f>
        <v>1.5360983102918587E-3</v>
      </c>
      <c r="GL39" s="69"/>
      <c r="GM39" s="6">
        <f t="shared" ref="GM39" si="644">SUM(FX39:FZ39,GB39,GD39)</f>
        <v>744</v>
      </c>
      <c r="GN39" s="8">
        <v>24</v>
      </c>
      <c r="GO39" s="8">
        <v>21</v>
      </c>
      <c r="GQ39" s="16" t="s">
        <v>43</v>
      </c>
      <c r="GR39" s="37" t="s">
        <v>48</v>
      </c>
      <c r="GS39" s="8">
        <v>0</v>
      </c>
      <c r="GT39" s="8">
        <v>0</v>
      </c>
      <c r="GU39" s="8">
        <v>0</v>
      </c>
      <c r="GV39" s="8">
        <v>720</v>
      </c>
      <c r="GW39" s="6">
        <f>(GV39/$GR$4)</f>
        <v>1</v>
      </c>
      <c r="GX39" s="8">
        <v>0</v>
      </c>
      <c r="GY39" s="8">
        <f>(GX39/$GR$4)</f>
        <v>0</v>
      </c>
      <c r="GZ39" s="8">
        <v>0</v>
      </c>
      <c r="HA39" s="6">
        <f>(GZ39/$GR$4)</f>
        <v>0</v>
      </c>
      <c r="HB39" s="8">
        <v>0</v>
      </c>
      <c r="HC39" s="69">
        <f>(GS39/$X$4)*100</f>
        <v>0</v>
      </c>
      <c r="HD39" s="69">
        <f>((GS39-HB39)/$GR$4)</f>
        <v>0</v>
      </c>
      <c r="HE39" s="149">
        <f t="shared" ref="HE39" si="645">IF((AND(GT39=0,GV39=0)),0,(GV39+HB39)/(GT39+GV39+HB39))</f>
        <v>1</v>
      </c>
      <c r="HF39" s="149">
        <f t="shared" ref="HF39" si="646">HB39/$GR$4</f>
        <v>0</v>
      </c>
      <c r="HG39" s="69">
        <f t="shared" ref="HG39" si="647">(HJ39/($GR$4*HK39))*100</f>
        <v>0</v>
      </c>
      <c r="HH39" s="15">
        <v>0</v>
      </c>
      <c r="HI39" s="6">
        <f t="shared" ref="HI39" si="648">SUM(GT39:GV39,GX39,GZ39)</f>
        <v>720</v>
      </c>
      <c r="HJ39" s="8">
        <v>0</v>
      </c>
      <c r="HK39" s="8">
        <v>21</v>
      </c>
      <c r="HM39" s="16" t="s">
        <v>43</v>
      </c>
      <c r="HN39" s="37" t="s">
        <v>48</v>
      </c>
      <c r="HO39" s="8">
        <v>0</v>
      </c>
      <c r="HP39" s="8">
        <v>0</v>
      </c>
      <c r="HQ39" s="8">
        <v>0</v>
      </c>
      <c r="HR39" s="8">
        <v>744</v>
      </c>
      <c r="HS39" s="6">
        <f>(HR39/$HN$4)</f>
        <v>1</v>
      </c>
      <c r="HT39" s="8">
        <v>0</v>
      </c>
      <c r="HU39" s="6">
        <f>(HT39/$HN$4)</f>
        <v>0</v>
      </c>
      <c r="HV39" s="8">
        <v>0</v>
      </c>
      <c r="HW39" s="6">
        <f>(HV39/$HN$4)</f>
        <v>0</v>
      </c>
      <c r="HX39" s="8">
        <v>0</v>
      </c>
      <c r="HY39" s="69">
        <f>(HO39/$HN$4)</f>
        <v>0</v>
      </c>
      <c r="HZ39" s="69">
        <f>((HO39-HX39)/$HN$4)</f>
        <v>0</v>
      </c>
      <c r="IA39" s="69">
        <f>IF((AND(HP39=0,HR39=0)),0,(HR39+HX39)/(HP39+HR39))</f>
        <v>1</v>
      </c>
      <c r="IB39" s="149">
        <f>HX39/$HN$4</f>
        <v>0</v>
      </c>
      <c r="IC39" s="69">
        <f>(IF39/($HN$4*IG39))</f>
        <v>0</v>
      </c>
      <c r="ID39" s="15">
        <v>0</v>
      </c>
      <c r="IE39" s="6">
        <f t="shared" ref="IE39" si="649">SUM(HP39:HR39,HT39,HV39)</f>
        <v>744</v>
      </c>
      <c r="IF39" s="8">
        <v>0</v>
      </c>
      <c r="IG39" s="8">
        <v>21</v>
      </c>
      <c r="II39" s="16" t="s">
        <v>43</v>
      </c>
      <c r="IJ39" s="37" t="s">
        <v>48</v>
      </c>
      <c r="IK39" s="53">
        <v>0</v>
      </c>
      <c r="IL39" s="53">
        <v>0</v>
      </c>
      <c r="IM39" s="53">
        <v>0</v>
      </c>
      <c r="IN39" s="53">
        <v>720</v>
      </c>
      <c r="IO39" s="69">
        <f>(IN39/$IJ$4)</f>
        <v>1</v>
      </c>
      <c r="IP39" s="8">
        <v>0</v>
      </c>
      <c r="IQ39" s="69">
        <f>(IP39/$IJ$4)</f>
        <v>0</v>
      </c>
      <c r="IR39" s="8">
        <v>0</v>
      </c>
      <c r="IS39" s="69">
        <f>(IR39/$IJ$4)</f>
        <v>0</v>
      </c>
      <c r="IT39" s="8">
        <v>0</v>
      </c>
      <c r="IU39" s="69">
        <f>(IK39/$IJ$4)</f>
        <v>0</v>
      </c>
      <c r="IV39" s="164">
        <f>((IK39-IT39)/$IJ$4)</f>
        <v>0</v>
      </c>
      <c r="IW39" s="164">
        <f>IF((AND(IL39=0,IN39=0)),0,(IN39+IT39)/(IL39+IN39+IT39))</f>
        <v>1</v>
      </c>
      <c r="IX39" s="149">
        <f t="shared" ref="IX39" si="650">IT39/$IJ$4</f>
        <v>0</v>
      </c>
      <c r="IY39" s="69">
        <f>(JB39/($IJ$4*JC39))</f>
        <v>0</v>
      </c>
      <c r="IZ39" s="15">
        <v>0</v>
      </c>
      <c r="JA39" s="15">
        <f t="shared" ref="JA39" si="651">SUM(IL39:IN39,IP39,IR39)</f>
        <v>720</v>
      </c>
      <c r="JB39" s="8">
        <v>0</v>
      </c>
      <c r="JC39" s="8">
        <v>21</v>
      </c>
    </row>
    <row r="40" spans="1:263" ht="15" x14ac:dyDescent="0.25">
      <c r="A40" s="16"/>
      <c r="B40" s="95" t="s">
        <v>39</v>
      </c>
      <c r="C40" s="25">
        <f>SUM(C38:C39)</f>
        <v>24</v>
      </c>
      <c r="D40" s="25">
        <f t="shared" ref="D40" si="652">SUM(D38:D39)</f>
        <v>2.2000000000000002</v>
      </c>
      <c r="E40" s="25">
        <f>SUM(E38:E39)</f>
        <v>21.8</v>
      </c>
      <c r="F40" s="98">
        <f t="shared" ref="F40" si="653">SUM(F38:F39)</f>
        <v>1464</v>
      </c>
      <c r="G40" s="78">
        <f>(G38*U38+G39*U39)/U40</f>
        <v>0.98387096774193561</v>
      </c>
      <c r="H40" s="29">
        <f t="shared" ref="H40:L40" si="654">SUM(H38:H39)</f>
        <v>0</v>
      </c>
      <c r="I40" s="78">
        <f>(I38*U38+I39*U39)/U40</f>
        <v>0</v>
      </c>
      <c r="J40" s="30">
        <f>SUM(J38:J39)</f>
        <v>0</v>
      </c>
      <c r="K40" s="79">
        <f>(K38*U38+K39*U39)/U40</f>
        <v>0</v>
      </c>
      <c r="L40" s="29">
        <f t="shared" si="654"/>
        <v>0</v>
      </c>
      <c r="M40" s="78">
        <f>(M38*U38+M39*U39)/U40</f>
        <v>1.6129032258064516E-2</v>
      </c>
      <c r="N40" s="81">
        <f>(N38*U38+N39*U39)/U40</f>
        <v>1.6129032258064516E-2</v>
      </c>
      <c r="O40" s="81">
        <f>(O38*U38+O39*U39)/U40</f>
        <v>0.99847687621157566</v>
      </c>
      <c r="P40" s="81">
        <f>(P38*U38+P39*U39)/U40</f>
        <v>0</v>
      </c>
      <c r="Q40" s="81">
        <f>(Q38*U38+Q39*U39)/U40</f>
        <v>1.0560675883256529E-3</v>
      </c>
      <c r="R40" s="29">
        <f t="shared" ref="R40" si="655">SUM(R38:R39)</f>
        <v>0</v>
      </c>
      <c r="S40" s="30">
        <f>SUM(S38:S39)</f>
        <v>1488</v>
      </c>
      <c r="T40" s="25">
        <f>SUM(T38:T39)</f>
        <v>33</v>
      </c>
      <c r="U40" s="25">
        <f>SUM(U38:U39)</f>
        <v>42</v>
      </c>
      <c r="W40" s="16"/>
      <c r="X40" s="87" t="s">
        <v>39</v>
      </c>
      <c r="Y40" s="29">
        <f>SUM(Y38:Y39)</f>
        <v>3.7</v>
      </c>
      <c r="Z40" s="29">
        <f t="shared" ref="Z40:AB40" si="656">SUM(Z38:Z39)</f>
        <v>2.7</v>
      </c>
      <c r="AA40" s="29">
        <f>SUM(AA38:AA39)</f>
        <v>1</v>
      </c>
      <c r="AB40" s="29">
        <f t="shared" si="656"/>
        <v>1484.3</v>
      </c>
      <c r="AC40" s="79">
        <f>(AC38*AQ38+AC39*AQ39)/AQ40</f>
        <v>0.99751344086021498</v>
      </c>
      <c r="AD40" s="29">
        <f t="shared" ref="AD40:AH40" si="657">SUM(AD38:AD39)</f>
        <v>0</v>
      </c>
      <c r="AE40" s="79">
        <f>(AE38*AQ38+AE39*AQ39)/AQ40</f>
        <v>0</v>
      </c>
      <c r="AF40" s="30">
        <f>SUM(AF38:AF39)</f>
        <v>0</v>
      </c>
      <c r="AG40" s="79">
        <f>SUM(AG38:AG39)</f>
        <v>0</v>
      </c>
      <c r="AH40" s="29">
        <f t="shared" si="657"/>
        <v>0</v>
      </c>
      <c r="AI40" s="78">
        <f>(AI38*AQ38+AI39*AQ39)/AQ40</f>
        <v>2.4865591397849464E-3</v>
      </c>
      <c r="AJ40" s="79">
        <f>(AJ38*AQ38+AJ39*AQ39)/AQ40</f>
        <v>2.4865591397849464E-3</v>
      </c>
      <c r="AK40" s="79">
        <f>(AK38*AQ38+AK39*AQ39)/AQ40</f>
        <v>0.99818304172274552</v>
      </c>
      <c r="AL40" s="79">
        <f>(AL38*AQ38+AL39*AQ39)/AQ40</f>
        <v>0</v>
      </c>
      <c r="AM40" s="81">
        <f>(AM38*AQ38+AM39*AQ39)/AQ40</f>
        <v>1.1840757808499745E-3</v>
      </c>
      <c r="AN40" s="29">
        <f t="shared" ref="AN40" si="658">SUM(AN38:AN39)</f>
        <v>0</v>
      </c>
      <c r="AO40" s="30">
        <f>SUM(AO38:AO39)</f>
        <v>1488</v>
      </c>
      <c r="AP40" s="33">
        <f>SUM(AP38:AP39)</f>
        <v>37</v>
      </c>
      <c r="AQ40" s="29">
        <f>SUM(AQ38:AQ39)</f>
        <v>42</v>
      </c>
      <c r="AS40" s="16"/>
      <c r="AT40" s="87" t="s">
        <v>39</v>
      </c>
      <c r="AU40" s="25">
        <f>SUM(AU38:AU39)</f>
        <v>9.8000000000000007</v>
      </c>
      <c r="AV40" s="25">
        <f t="shared" ref="AV40:AX40" si="659">SUM(AV38:AV39)</f>
        <v>9.8000000000000007</v>
      </c>
      <c r="AW40" s="25">
        <f>SUM(AW38:AW39)</f>
        <v>0</v>
      </c>
      <c r="AX40" s="25">
        <f t="shared" si="659"/>
        <v>1430.2</v>
      </c>
      <c r="AY40" s="26">
        <f>(AY38*BM38+AY39*BM39)/BM40</f>
        <v>0.99319444444444449</v>
      </c>
      <c r="AZ40" s="29">
        <f t="shared" ref="AZ40:BD40" si="660">SUM(AZ38:AZ39)</f>
        <v>0</v>
      </c>
      <c r="BA40" s="26">
        <f>(BA38*BM38+BA39*BM39)/BM40</f>
        <v>0</v>
      </c>
      <c r="BB40" s="30">
        <f>SUM(BB38:BB39)</f>
        <v>0</v>
      </c>
      <c r="BC40" s="30">
        <f>(BC38*BM38+BC39*BM39)/BM40</f>
        <v>0</v>
      </c>
      <c r="BD40" s="29">
        <f t="shared" si="660"/>
        <v>0</v>
      </c>
      <c r="BE40" s="78">
        <f>(BE38*BM38+BE39*BM39)/BM40</f>
        <v>6.8055555555555551E-3</v>
      </c>
      <c r="BF40" s="81">
        <f>(BF38*BM38+BF39*BM39)/BM40</f>
        <v>6.8055555555555551E-3</v>
      </c>
      <c r="BG40" s="81">
        <f>(BG38*BM38+BG39*BM39)/BM40</f>
        <v>0.99319444444444449</v>
      </c>
      <c r="BH40" s="81"/>
      <c r="BI40" s="81">
        <f>(BI38*BM38+BI39*BM39)/BM40</f>
        <v>6.0251322751322745E-3</v>
      </c>
      <c r="BJ40" s="149"/>
      <c r="BK40" s="30">
        <f>SUM(BK38:BK39)</f>
        <v>1440</v>
      </c>
      <c r="BL40" s="29">
        <f>SUM(BL38:BL39)</f>
        <v>182.2</v>
      </c>
      <c r="BM40" s="29">
        <f>SUM(BM38:BM39)</f>
        <v>42</v>
      </c>
      <c r="BO40" s="16"/>
      <c r="BP40" s="87" t="s">
        <v>39</v>
      </c>
      <c r="BQ40" s="25">
        <f>SUM(BQ38:BQ39)</f>
        <v>48.200000000000045</v>
      </c>
      <c r="BR40" s="25">
        <f t="shared" ref="BR40:BT40" si="661">SUM(BR38:BR39)</f>
        <v>48.2</v>
      </c>
      <c r="BS40" s="25">
        <f>SUM(BS38:BS39)</f>
        <v>0</v>
      </c>
      <c r="BT40" s="25">
        <f t="shared" si="661"/>
        <v>1439.8</v>
      </c>
      <c r="BU40" s="78">
        <f>(BU38*CI38+BU39*CI39)/CI40</f>
        <v>0.96760752688172047</v>
      </c>
      <c r="BV40" s="29">
        <f t="shared" ref="BV40:BZ40" si="662">SUM(BV38:BV39)</f>
        <v>0</v>
      </c>
      <c r="BW40" s="78">
        <f>(BW38*CI38+BW39*CI39)/CI40</f>
        <v>0</v>
      </c>
      <c r="BX40" s="30">
        <f>SUM(BX38:BX39)</f>
        <v>0</v>
      </c>
      <c r="BY40" s="79">
        <f>(BY38*CI38+BY39*CI39)/CI40</f>
        <v>0</v>
      </c>
      <c r="BZ40" s="29">
        <f t="shared" si="662"/>
        <v>0</v>
      </c>
      <c r="CA40" s="78">
        <f>(CA38*CI38+CA39*CI39)/CI40</f>
        <v>3.2392473118279599E-2</v>
      </c>
      <c r="CB40" s="81">
        <f>(CB38*CI38+CB39*CI39)/CI40</f>
        <v>3.2392473118279599E-2</v>
      </c>
      <c r="CC40" s="81">
        <f>(CC38*CI38+CC39*CI39)/CI40</f>
        <v>0.96760752688172047</v>
      </c>
      <c r="CD40" s="81"/>
      <c r="CE40" s="81">
        <f>(CE38*CI38+CE39*CI39)/CI40</f>
        <v>2.7265745007680493E-2</v>
      </c>
      <c r="CF40" s="149"/>
      <c r="CG40" s="33">
        <f>SUM(CG38:CG39)</f>
        <v>1488</v>
      </c>
      <c r="CH40" s="29">
        <f>SUM(CH38:CH39)</f>
        <v>852</v>
      </c>
      <c r="CI40" s="29">
        <f>SUM(CI38:CI39)</f>
        <v>42</v>
      </c>
      <c r="CK40" s="16"/>
      <c r="CL40" s="87" t="s">
        <v>39</v>
      </c>
      <c r="CM40" s="25">
        <f>SUM(CM38:CM39)</f>
        <v>6.2</v>
      </c>
      <c r="CN40" s="25">
        <f t="shared" ref="CN40:CP40" si="663">SUM(CN38:CN39)</f>
        <v>6.2</v>
      </c>
      <c r="CO40" s="25">
        <f>SUM(CO38:CO39)</f>
        <v>0</v>
      </c>
      <c r="CP40" s="25">
        <f t="shared" si="663"/>
        <v>1433.8</v>
      </c>
      <c r="CQ40" s="78">
        <f>(CQ38*DE38+CQ39*DE39)/DE40</f>
        <v>0.99569444444444444</v>
      </c>
      <c r="CR40" s="29">
        <f t="shared" ref="CR40:CV40" si="664">SUM(CR38:CR39)</f>
        <v>0</v>
      </c>
      <c r="CS40" s="78">
        <f>(CS38*DE38+CS39*DE39)/DE40</f>
        <v>0</v>
      </c>
      <c r="CT40" s="30">
        <f>SUM(CT38:CT39)</f>
        <v>0</v>
      </c>
      <c r="CU40" s="78">
        <f>(CU38*DE38+CU39*DE39)/DE40</f>
        <v>0</v>
      </c>
      <c r="CV40" s="29">
        <f t="shared" si="664"/>
        <v>0</v>
      </c>
      <c r="CW40" s="78">
        <f>(CW38*DE38+CW39*DE39)/DE40</f>
        <v>4.3055555555555555E-3</v>
      </c>
      <c r="CX40" s="81">
        <f>(CX38*DE38+CX39*DE39)/DE40</f>
        <v>4.3055555555555555E-3</v>
      </c>
      <c r="CY40" s="81">
        <f>(CY38*DE38+CY39*DE39)/DE40</f>
        <v>0.99569444444444444</v>
      </c>
      <c r="CZ40" s="81"/>
      <c r="DA40" s="81">
        <f>(DA38*DE38+DA39*DE39)/DE40</f>
        <v>3.968253968253968E-3</v>
      </c>
      <c r="DB40" s="149"/>
      <c r="DC40" s="30">
        <f>SUM(DC38:DC39)</f>
        <v>1440</v>
      </c>
      <c r="DD40" s="29">
        <f>SUM(DD38:DD39)</f>
        <v>120</v>
      </c>
      <c r="DE40" s="29">
        <f>SUM(DE38:DE39)</f>
        <v>42</v>
      </c>
      <c r="DG40" s="16"/>
      <c r="DH40" s="87" t="s">
        <v>39</v>
      </c>
      <c r="DI40" s="25">
        <f>SUM(DI38:DI39)</f>
        <v>36.6</v>
      </c>
      <c r="DJ40" s="25">
        <f t="shared" ref="DJ40:DL40" si="665">SUM(DJ38:DJ39)</f>
        <v>12.6</v>
      </c>
      <c r="DK40" s="25">
        <f>SUM(DK38:DK39)</f>
        <v>24</v>
      </c>
      <c r="DL40" s="25">
        <f t="shared" si="665"/>
        <v>1451.4</v>
      </c>
      <c r="DM40" s="78">
        <f>(DM38*EA38+DM39*EA39)/EA40</f>
        <v>0.97540322580645167</v>
      </c>
      <c r="DN40" s="29">
        <f t="shared" ref="DN40:DR40" si="666">SUM(DN38:DN39)</f>
        <v>0</v>
      </c>
      <c r="DO40" s="78">
        <f>(DO38*EA38+DO39*EA39)/EA40</f>
        <v>0</v>
      </c>
      <c r="DP40" s="30">
        <f>SUM(DP38:DP39)</f>
        <v>0</v>
      </c>
      <c r="DQ40" s="79">
        <f>(DQ38*EA38+DQ39*EA39)/EA40</f>
        <v>0</v>
      </c>
      <c r="DR40" s="29">
        <f t="shared" si="666"/>
        <v>0</v>
      </c>
      <c r="DS40" s="78">
        <f>(DS38*EA38+DS39*EA39)/EA40</f>
        <v>2.4596774193548384E-2</v>
      </c>
      <c r="DT40" s="81">
        <f>(DT38*EA38+DT39*EA39)/EA40</f>
        <v>2.4596774193548384E-2</v>
      </c>
      <c r="DU40" s="81">
        <f>(DU38*EA38+DU39*EA39)/EA40</f>
        <v>0.99153225806451606</v>
      </c>
      <c r="DV40" s="81">
        <f>(DV38*EA38+DV39*EA39)/EA40</f>
        <v>0</v>
      </c>
      <c r="DW40" s="81">
        <f>(DW38*EA38+DW39*EA39)/EA40</f>
        <v>1.8561187916026627E-3</v>
      </c>
      <c r="DX40" s="149"/>
      <c r="DY40" s="31">
        <f>SUM(DY38:DY39)</f>
        <v>1488</v>
      </c>
      <c r="DZ40" s="29">
        <f>SUM(DZ38:DZ39)</f>
        <v>58</v>
      </c>
      <c r="EA40" s="29">
        <f>SUM(EA38:EA39)</f>
        <v>42</v>
      </c>
      <c r="EC40" s="16"/>
      <c r="ED40" s="87" t="s">
        <v>39</v>
      </c>
      <c r="EE40" s="25">
        <f>SUM(EE38:EE39)</f>
        <v>21.6</v>
      </c>
      <c r="EF40" s="25">
        <f t="shared" ref="EF40:EH40" si="667">SUM(EF38:EF39)</f>
        <v>21.6</v>
      </c>
      <c r="EG40" s="25">
        <f>SUM(EG38:EG39)</f>
        <v>0</v>
      </c>
      <c r="EH40" s="25">
        <f t="shared" si="667"/>
        <v>1466.4</v>
      </c>
      <c r="EI40" s="78">
        <f>(EI38*EW38+EI39*EW39)/EW40</f>
        <v>0.98548387096774193</v>
      </c>
      <c r="EJ40" s="29">
        <f t="shared" ref="EJ40:EN40" si="668">SUM(EJ38:EJ39)</f>
        <v>0</v>
      </c>
      <c r="EK40" s="78">
        <f>(EK38*EW38+EK39*EW39)/EW40</f>
        <v>0</v>
      </c>
      <c r="EL40" s="30">
        <f>SUM(EL38:EL39)</f>
        <v>0</v>
      </c>
      <c r="EM40" s="79">
        <f>(EM38*EW38+EM39*EW39)/EW40</f>
        <v>0</v>
      </c>
      <c r="EN40" s="29">
        <f t="shared" si="668"/>
        <v>0</v>
      </c>
      <c r="EO40" s="78">
        <f>(EO38*EW38+EO39*EW39)/EW40</f>
        <v>1.4516129032258065E-2</v>
      </c>
      <c r="EP40" s="81">
        <f>(EP38*EW38+EP39*EW39)/EW40</f>
        <v>1.4516129032258065E-2</v>
      </c>
      <c r="EQ40" s="81">
        <f>(EQ38*EW38+EQ39*EW39)/EW40</f>
        <v>0.98548387096774193</v>
      </c>
      <c r="ER40" s="81"/>
      <c r="ES40" s="81">
        <f>(ES38*EW38+ES39*EW39)/EW40</f>
        <v>1.2576804915514592E-2</v>
      </c>
      <c r="ET40" s="149"/>
      <c r="EU40" s="30">
        <f>SUM(EU38:EU39)</f>
        <v>1488</v>
      </c>
      <c r="EV40" s="29">
        <f>SUM(EV38:EV39)</f>
        <v>393</v>
      </c>
      <c r="EW40" s="29">
        <f>SUM(EW38:EW39)</f>
        <v>42</v>
      </c>
      <c r="EY40" s="16"/>
      <c r="EZ40" s="87" t="s">
        <v>39</v>
      </c>
      <c r="FA40" s="25">
        <f>SUM(FA38:FA39)</f>
        <v>9.9</v>
      </c>
      <c r="FB40" s="25">
        <f t="shared" ref="FB40:FD40" si="669">SUM(FB38:FB39)</f>
        <v>4.7</v>
      </c>
      <c r="FC40" s="25">
        <f>SUM(FC38:FC39)</f>
        <v>5.2</v>
      </c>
      <c r="FD40" s="25">
        <f t="shared" si="669"/>
        <v>1334.1</v>
      </c>
      <c r="FE40" s="78">
        <f>(FE38*FS38+FE39*FS39)/FS40</f>
        <v>0.99263392857142851</v>
      </c>
      <c r="FF40" s="29">
        <f t="shared" ref="FF40:FJ40" si="670">SUM(FF38:FF39)</f>
        <v>0</v>
      </c>
      <c r="FG40" s="78">
        <f>(FG38*FS38+FG39*FS39)/FS40</f>
        <v>0</v>
      </c>
      <c r="FH40" s="30">
        <f>SUM(FH38:FH39)</f>
        <v>0</v>
      </c>
      <c r="FI40" s="79">
        <f>(FI38*FS38+FI39*FS39)/FS40</f>
        <v>0</v>
      </c>
      <c r="FJ40" s="29">
        <f t="shared" si="670"/>
        <v>0</v>
      </c>
      <c r="FK40" s="78">
        <f>(FK38*FS38+FK39*FS39)/FS40</f>
        <v>6.6532258064516143E-3</v>
      </c>
      <c r="FL40" s="81">
        <f>(FL38*FS38+FL39*FS39)/FS40</f>
        <v>7.3660714285714284E-3</v>
      </c>
      <c r="FM40" s="81">
        <f>(FM38*FS38+FM39*FS39)/FS40</f>
        <v>0.99647570485902814</v>
      </c>
      <c r="FN40" s="81"/>
      <c r="FO40" s="81">
        <f>(FO38*FS38+FO39*FS39)/FS40</f>
        <v>2.7636054421768708E-3</v>
      </c>
      <c r="FP40" s="149"/>
      <c r="FQ40" s="30">
        <f>SUM(FQ38:FQ39)</f>
        <v>1344</v>
      </c>
      <c r="FR40" s="29">
        <f>SUM(FR38:FR39)</f>
        <v>78</v>
      </c>
      <c r="FS40" s="29">
        <f>SUM(FS38:FS39)</f>
        <v>42</v>
      </c>
      <c r="FU40" s="16"/>
      <c r="FV40" s="87" t="s">
        <v>39</v>
      </c>
      <c r="FW40" s="25">
        <f>SUM(FW38:FW39)</f>
        <v>6.9</v>
      </c>
      <c r="FX40" s="25">
        <f t="shared" ref="FX40:FZ40" si="671">SUM(FX38:FX39)</f>
        <v>1.2</v>
      </c>
      <c r="FY40" s="25">
        <f>SUM(FY38:FY39)</f>
        <v>5.7</v>
      </c>
      <c r="FZ40" s="25">
        <f t="shared" si="671"/>
        <v>1481.1</v>
      </c>
      <c r="GA40" s="78">
        <f>(GA38*GO38+GA39*GO39)/GO40</f>
        <v>0.99536290322580645</v>
      </c>
      <c r="GB40" s="29">
        <f t="shared" ref="GB40:GF40" si="672">SUM(GB38:GB39)</f>
        <v>0</v>
      </c>
      <c r="GC40" s="78">
        <f>(GC38*GO38+GC39*GO39)/GO40</f>
        <v>0</v>
      </c>
      <c r="GD40" s="30">
        <f>SUM(GD38:GD39)</f>
        <v>0</v>
      </c>
      <c r="GE40" s="79">
        <f>(GE38*GO38+GE39*GO39)/GO40</f>
        <v>0</v>
      </c>
      <c r="GF40" s="29">
        <f t="shared" si="672"/>
        <v>0</v>
      </c>
      <c r="GG40" s="78">
        <f>(GG38*GO38+GG39*GO39)/GO40</f>
        <v>4.637096774193549E-3</v>
      </c>
      <c r="GH40" s="81">
        <f>(GH38*GO38+GH39*GO39)/GO40</f>
        <v>4.637096774193549E-3</v>
      </c>
      <c r="GI40" s="81">
        <f>(GI38*GO38+GI39*GO39)/GO40</f>
        <v>0.99918732222673701</v>
      </c>
      <c r="GJ40" s="81">
        <f>(GJ38*GO38+GJ39*GO39)/GO40</f>
        <v>0</v>
      </c>
      <c r="GK40" s="81">
        <f>(GK38*GO38+GK39*GO39)/GO40</f>
        <v>7.6804915514592934E-4</v>
      </c>
      <c r="GL40" s="149"/>
      <c r="GM40" s="30">
        <f>SUM(GM38:GM39)</f>
        <v>1488</v>
      </c>
      <c r="GN40" s="29">
        <f>SUM(GN38:GN39)</f>
        <v>24</v>
      </c>
      <c r="GO40" s="29">
        <f>SUM(GO38:GO39)</f>
        <v>42</v>
      </c>
      <c r="GQ40" s="16"/>
      <c r="GR40" s="87" t="s">
        <v>39</v>
      </c>
      <c r="GS40" s="115">
        <f>SUM(GS38:GS39)</f>
        <v>0</v>
      </c>
      <c r="GT40" s="115">
        <f t="shared" ref="GT40:GV40" si="673">SUM(GT38:GT39)</f>
        <v>0</v>
      </c>
      <c r="GU40" s="115">
        <f>SUM(GU38:GU39)</f>
        <v>0</v>
      </c>
      <c r="GV40" s="115">
        <f t="shared" si="673"/>
        <v>1440</v>
      </c>
      <c r="GW40" s="116">
        <f>(GW38*HK38+GW39*HK39)/HK40</f>
        <v>1</v>
      </c>
      <c r="GX40" s="48">
        <f t="shared" ref="GX40:HB40" si="674">SUM(GX38:GX39)</f>
        <v>0</v>
      </c>
      <c r="GY40" s="116">
        <f>(GY38*HK38+GY39*HK39)/HK40</f>
        <v>0</v>
      </c>
      <c r="GZ40" s="120">
        <f>SUM(GZ38:GZ39)</f>
        <v>0</v>
      </c>
      <c r="HA40" s="116">
        <f>(HA38*HK38+HA39*HK39)/HK40</f>
        <v>0</v>
      </c>
      <c r="HB40" s="48">
        <f t="shared" si="674"/>
        <v>0</v>
      </c>
      <c r="HC40" s="116">
        <f>(HC38*HK38+HC39*HK39)/HK40</f>
        <v>0</v>
      </c>
      <c r="HD40" s="119">
        <f>(HD38*HK38+HD39*HK39)/HK40</f>
        <v>0</v>
      </c>
      <c r="HE40" s="119">
        <f>(HE38*HK38+HE39*HK39)/HK40</f>
        <v>1</v>
      </c>
      <c r="HF40" s="119">
        <f>(HF38*HK38+HF39*HK39)/HK40</f>
        <v>0</v>
      </c>
      <c r="HG40" s="119">
        <f>(HG38*HK38+HG39*HK39)/HK40</f>
        <v>0</v>
      </c>
      <c r="HH40" s="48">
        <f t="shared" ref="HH40" si="675">SUM(HH38:HH39)</f>
        <v>0</v>
      </c>
      <c r="HI40" s="120">
        <f>SUM(HI38:HI39)</f>
        <v>1440</v>
      </c>
      <c r="HJ40" s="48">
        <f>SUM(HJ38:HJ39)</f>
        <v>0</v>
      </c>
      <c r="HK40" s="48">
        <f>SUM(HK38:HK39)</f>
        <v>42</v>
      </c>
      <c r="HM40" s="16"/>
      <c r="HN40" s="87" t="s">
        <v>39</v>
      </c>
      <c r="HO40" s="25">
        <f>SUM(HO38:HO39)</f>
        <v>0</v>
      </c>
      <c r="HP40" s="25">
        <f t="shared" ref="HP40:HR40" si="676">SUM(HP38:HP39)</f>
        <v>0</v>
      </c>
      <c r="HQ40" s="25">
        <f>SUM(HQ38:HQ39)</f>
        <v>0</v>
      </c>
      <c r="HR40" s="25">
        <f t="shared" si="676"/>
        <v>1488</v>
      </c>
      <c r="HS40" s="78">
        <f>(HS38*IG38+HS39*IG39)/IG40</f>
        <v>1</v>
      </c>
      <c r="HT40" s="29">
        <f t="shared" ref="HT40:HX40" si="677">SUM(HT38:HT39)</f>
        <v>0</v>
      </c>
      <c r="HU40" s="78">
        <f>(HU38*IG38+HU39*IG39)/IG40</f>
        <v>0</v>
      </c>
      <c r="HV40" s="30">
        <f>SUM(HV38:HV39)</f>
        <v>0</v>
      </c>
      <c r="HW40" s="78">
        <f>(HW38*IG38+HW39*IG39)/IG40</f>
        <v>0</v>
      </c>
      <c r="HX40" s="29">
        <f t="shared" si="677"/>
        <v>0</v>
      </c>
      <c r="HY40" s="78">
        <f>(HY38*IG38+HY39*IG39)/IG40</f>
        <v>0</v>
      </c>
      <c r="HZ40" s="81">
        <f>(HZ38*IG38+HZ39*IG39)/IG40</f>
        <v>0</v>
      </c>
      <c r="IA40" s="81">
        <f>(IA38*IG38+IA39*IG39)/IG40</f>
        <v>1</v>
      </c>
      <c r="IB40" s="81">
        <f>(IB38*IG38+IB39*IG39)/IG40</f>
        <v>0</v>
      </c>
      <c r="IC40" s="81">
        <f>(IC38*IG38+IC39*IG39)/IG40</f>
        <v>0</v>
      </c>
      <c r="ID40" s="29">
        <f t="shared" ref="ID40" si="678">SUM(ID38:ID39)</f>
        <v>0</v>
      </c>
      <c r="IE40" s="30">
        <f>SUM(IE38:IE39)</f>
        <v>1488</v>
      </c>
      <c r="IF40" s="29">
        <f>SUM(IF38:IF39)</f>
        <v>0</v>
      </c>
      <c r="IG40" s="29">
        <f>SUM(IG38:IG39)</f>
        <v>42</v>
      </c>
      <c r="II40" s="16"/>
      <c r="IJ40" s="87" t="s">
        <v>84</v>
      </c>
      <c r="IK40" s="90">
        <f>SUM(IK38:IK39)</f>
        <v>0</v>
      </c>
      <c r="IL40" s="90">
        <f t="shared" ref="IL40:IM40" si="679">SUM(IL38:IL39)</f>
        <v>0</v>
      </c>
      <c r="IM40" s="90">
        <f t="shared" si="679"/>
        <v>0</v>
      </c>
      <c r="IN40" s="90">
        <f t="shared" ref="IN40" si="680">SUM(IN38:IN39)</f>
        <v>1440</v>
      </c>
      <c r="IO40" s="78">
        <f>(IO38*JC38+IO39*JC39)/JC40</f>
        <v>1</v>
      </c>
      <c r="IP40" s="90">
        <f t="shared" ref="IP40" si="681">SUM(IP38:IP39)</f>
        <v>0</v>
      </c>
      <c r="IQ40" s="78">
        <f>(IQ38*JC38+IQ39*JC39)/JC40</f>
        <v>0</v>
      </c>
      <c r="IR40" s="90">
        <f t="shared" ref="IR40:IT40" si="682">SUM(IR38:IR39)</f>
        <v>0</v>
      </c>
      <c r="IS40" s="78">
        <f>(IS38*JC38+IS39*JC39)/JC40</f>
        <v>0</v>
      </c>
      <c r="IT40" s="90">
        <f t="shared" si="682"/>
        <v>0</v>
      </c>
      <c r="IU40" s="79">
        <f>(IU38*JC38+IU39*JC39)/JC40</f>
        <v>0</v>
      </c>
      <c r="IV40" s="80">
        <f>(IV38*JC38+IV39*JC39)/JC40</f>
        <v>0</v>
      </c>
      <c r="IW40" s="80">
        <f>(IW38*JC38+IW39*JC39)/JC40</f>
        <v>1</v>
      </c>
      <c r="IX40" s="80">
        <f>(IX38*JC38+IX39*JC39)/JC40</f>
        <v>0</v>
      </c>
      <c r="IY40" s="80">
        <f>(IY38*JC38+IY39*JC39)/JC40</f>
        <v>0</v>
      </c>
      <c r="IZ40" s="29">
        <f>SUM(IZ38:IZ39)</f>
        <v>0</v>
      </c>
      <c r="JA40" s="33">
        <f>SUM(JA38:JA39)</f>
        <v>1440</v>
      </c>
      <c r="JB40" s="29">
        <f>SUM(JB38:JB39)</f>
        <v>0</v>
      </c>
      <c r="JC40" s="29">
        <f>SUM(JC38:JC39)</f>
        <v>42</v>
      </c>
    </row>
    <row r="41" spans="1:263" ht="15" x14ac:dyDescent="0.25">
      <c r="A41" s="74" t="s">
        <v>44</v>
      </c>
      <c r="B41" s="37" t="s">
        <v>52</v>
      </c>
      <c r="C41" s="8">
        <v>0</v>
      </c>
      <c r="D41" s="8">
        <v>0</v>
      </c>
      <c r="E41" s="8">
        <v>0</v>
      </c>
      <c r="F41" s="8">
        <v>744</v>
      </c>
      <c r="G41" s="6">
        <f>(F41/$B$4)</f>
        <v>1</v>
      </c>
      <c r="H41" s="8">
        <v>0</v>
      </c>
      <c r="I41" s="6">
        <f>(H41/$B$4)</f>
        <v>0</v>
      </c>
      <c r="J41" s="6">
        <v>0</v>
      </c>
      <c r="K41" s="6">
        <f>(J41/$B$4)</f>
        <v>0</v>
      </c>
      <c r="L41" s="8">
        <v>0</v>
      </c>
      <c r="M41" s="69">
        <f>(C41/$B$4)</f>
        <v>0</v>
      </c>
      <c r="N41" s="69">
        <f>((C41-L41)/$B$4)</f>
        <v>0</v>
      </c>
      <c r="O41" s="69">
        <f>IF((AND(D41=0,F41=0)),0,(F41+L41)/(D41+F41+L41))</f>
        <v>1</v>
      </c>
      <c r="P41" s="149">
        <f>L41/$B$4</f>
        <v>0</v>
      </c>
      <c r="Q41" s="69">
        <f>(T41/($B$4*U41))</f>
        <v>0</v>
      </c>
      <c r="R41" s="15">
        <v>0</v>
      </c>
      <c r="S41" s="6">
        <f>SUM(D41:F41,H41,J41)</f>
        <v>744</v>
      </c>
      <c r="T41" s="8">
        <v>0</v>
      </c>
      <c r="U41" s="8">
        <v>21</v>
      </c>
      <c r="W41" s="74" t="s">
        <v>44</v>
      </c>
      <c r="X41" s="37" t="s">
        <v>52</v>
      </c>
      <c r="Y41" s="8">
        <v>0</v>
      </c>
      <c r="Z41" s="8">
        <v>0</v>
      </c>
      <c r="AA41" s="8">
        <v>0</v>
      </c>
      <c r="AB41" s="8">
        <v>744</v>
      </c>
      <c r="AC41" s="6">
        <f>(AB41/$X$4)</f>
        <v>1</v>
      </c>
      <c r="AD41" s="8">
        <v>0</v>
      </c>
      <c r="AE41" s="6">
        <f>(AD41/$X$4)</f>
        <v>0</v>
      </c>
      <c r="AF41" s="8">
        <v>0</v>
      </c>
      <c r="AG41" s="6">
        <f>(AF41/$X$4)</f>
        <v>0</v>
      </c>
      <c r="AH41" s="8">
        <v>0</v>
      </c>
      <c r="AI41" s="69">
        <f>(Y41/$X$4)</f>
        <v>0</v>
      </c>
      <c r="AJ41" s="69">
        <f>((Y41-AH41)/$X$4)</f>
        <v>0</v>
      </c>
      <c r="AK41" s="69">
        <f>IF((AND(Z41=0,AB41=0)),0,(AB41+AH41)/(Z41+AB41+AH41))</f>
        <v>1</v>
      </c>
      <c r="AL41" s="149">
        <f>AH41/$X$4</f>
        <v>0</v>
      </c>
      <c r="AM41" s="69">
        <f>(AP41/($X$4*AQ41))</f>
        <v>0</v>
      </c>
      <c r="AN41" s="15">
        <v>0</v>
      </c>
      <c r="AO41" s="6">
        <f>SUM(Z41:AB41,AD41,AF41)</f>
        <v>744</v>
      </c>
      <c r="AP41" s="8">
        <v>0</v>
      </c>
      <c r="AQ41" s="8">
        <v>21</v>
      </c>
      <c r="AS41" s="74" t="s">
        <v>44</v>
      </c>
      <c r="AT41" s="37" t="s">
        <v>52</v>
      </c>
      <c r="AU41" s="8">
        <v>0</v>
      </c>
      <c r="AV41" s="8">
        <v>0</v>
      </c>
      <c r="AW41" s="8">
        <v>0</v>
      </c>
      <c r="AX41" s="8">
        <v>720</v>
      </c>
      <c r="AY41" s="8">
        <f>(AX41/$AT$4)</f>
        <v>1</v>
      </c>
      <c r="AZ41" s="8">
        <v>0</v>
      </c>
      <c r="BA41" s="8">
        <f>(AZ41/$AT$4)</f>
        <v>0</v>
      </c>
      <c r="BB41" s="8">
        <v>0</v>
      </c>
      <c r="BC41" s="8">
        <f>(BB41/$AT$4)</f>
        <v>0</v>
      </c>
      <c r="BD41" s="8">
        <v>0</v>
      </c>
      <c r="BE41" s="69">
        <f>(AU41/$AT$4)</f>
        <v>0</v>
      </c>
      <c r="BF41" s="69">
        <f>((AU41-BD41)/$AT$4)</f>
        <v>0</v>
      </c>
      <c r="BG41" s="69">
        <f>IF((AND(AV41=0,AX41=0)),0,(AX41+BD41)/(AV41+AX41+BD41))</f>
        <v>1</v>
      </c>
      <c r="BH41" s="149">
        <f>BD41/$AT$4</f>
        <v>0</v>
      </c>
      <c r="BI41" s="69">
        <f>(BL41/($AT$4*BM41))</f>
        <v>0</v>
      </c>
      <c r="BJ41" s="6"/>
      <c r="BK41" s="6">
        <f>SUM(AV41:AX41,AZ41,BB41)</f>
        <v>720</v>
      </c>
      <c r="BL41" s="8">
        <v>0</v>
      </c>
      <c r="BM41" s="8">
        <v>21</v>
      </c>
      <c r="BO41" s="74" t="s">
        <v>44</v>
      </c>
      <c r="BP41" s="37" t="s">
        <v>52</v>
      </c>
      <c r="BQ41" s="8">
        <v>0</v>
      </c>
      <c r="BR41" s="8">
        <v>0</v>
      </c>
      <c r="BS41" s="8">
        <v>0</v>
      </c>
      <c r="BT41" s="8">
        <v>744</v>
      </c>
      <c r="BU41" s="6">
        <f>(BT41/$BP$4)</f>
        <v>1</v>
      </c>
      <c r="BV41" s="8">
        <v>0</v>
      </c>
      <c r="BW41" s="6">
        <f>(BV41/$BP$4)</f>
        <v>0</v>
      </c>
      <c r="BX41" s="8">
        <v>0</v>
      </c>
      <c r="BY41" s="6">
        <f>(BX41/$BP$4)</f>
        <v>0</v>
      </c>
      <c r="BZ41" s="8">
        <v>0</v>
      </c>
      <c r="CA41" s="69">
        <f>(BQ41/$BP$4)</f>
        <v>0</v>
      </c>
      <c r="CB41" s="69">
        <f>((BQ41-BZ41)/$BP$4)</f>
        <v>0</v>
      </c>
      <c r="CC41" s="149">
        <f>IF((AND(BR41=0,BT41=0)),0,(BT41+BZ41)/(BR41+BT41+BZ41))</f>
        <v>1</v>
      </c>
      <c r="CD41" s="149">
        <f>BZ41/$BP$4</f>
        <v>0</v>
      </c>
      <c r="CE41" s="69">
        <f>(CH41/($BP$4*CI41))</f>
        <v>0</v>
      </c>
      <c r="CF41" s="69"/>
      <c r="CG41" s="42">
        <f>SUM(BR41:BT41,BV41,BX41)</f>
        <v>744</v>
      </c>
      <c r="CH41" s="8">
        <v>0</v>
      </c>
      <c r="CI41" s="8">
        <v>21</v>
      </c>
      <c r="CK41" s="74" t="s">
        <v>44</v>
      </c>
      <c r="CL41" s="37" t="s">
        <v>52</v>
      </c>
      <c r="CM41" s="8">
        <v>0</v>
      </c>
      <c r="CN41" s="8">
        <v>0</v>
      </c>
      <c r="CO41" s="8">
        <v>0</v>
      </c>
      <c r="CP41" s="8">
        <v>720</v>
      </c>
      <c r="CQ41" s="6">
        <f>(CP41/$CL$4)</f>
        <v>1</v>
      </c>
      <c r="CR41" s="8">
        <v>0</v>
      </c>
      <c r="CS41" s="6">
        <f>(CR41/$CL$4)</f>
        <v>0</v>
      </c>
      <c r="CT41" s="6">
        <v>0</v>
      </c>
      <c r="CU41" s="6">
        <f>(CT41/$CL$4)</f>
        <v>0</v>
      </c>
      <c r="CV41" s="8">
        <v>0</v>
      </c>
      <c r="CW41" s="69">
        <f>(CM41/$CL$4)</f>
        <v>0</v>
      </c>
      <c r="CX41" s="69">
        <f>((CM41-CV41)/$CL$4)</f>
        <v>0</v>
      </c>
      <c r="CY41" s="149">
        <f>IF((AND(CN41=0,CP41=0)),0,(CP41+CV41)/(CN41+CP41+CV41))</f>
        <v>1</v>
      </c>
      <c r="CZ41" s="149">
        <f>CV41/$CL$4</f>
        <v>0</v>
      </c>
      <c r="DA41" s="69">
        <f>(DD41/($CL$4*DE41))</f>
        <v>0</v>
      </c>
      <c r="DB41" s="6"/>
      <c r="DC41" s="6">
        <f>SUM(CN41:CP41,CR41,CT41)</f>
        <v>720</v>
      </c>
      <c r="DD41" s="8">
        <v>0</v>
      </c>
      <c r="DE41" s="8">
        <v>21</v>
      </c>
      <c r="DG41" s="74" t="s">
        <v>44</v>
      </c>
      <c r="DH41" s="37" t="s">
        <v>52</v>
      </c>
      <c r="DI41" s="8">
        <v>0</v>
      </c>
      <c r="DJ41" s="8">
        <v>0</v>
      </c>
      <c r="DK41" s="8">
        <v>0</v>
      </c>
      <c r="DL41" s="8">
        <v>744</v>
      </c>
      <c r="DM41" s="69">
        <f>(DL41/$DH$4)</f>
        <v>1</v>
      </c>
      <c r="DN41" s="8">
        <v>0</v>
      </c>
      <c r="DO41" s="69">
        <f>(DN41/$DH$4)</f>
        <v>0</v>
      </c>
      <c r="DP41" s="6">
        <v>0</v>
      </c>
      <c r="DQ41" s="69">
        <f>(DP41/$DH$4)</f>
        <v>0</v>
      </c>
      <c r="DR41" s="8">
        <v>0</v>
      </c>
      <c r="DS41" s="69">
        <f>(DI41/$X$4)</f>
        <v>0</v>
      </c>
      <c r="DT41" s="69">
        <f>((DI41-DR41)/$DH$4)</f>
        <v>0</v>
      </c>
      <c r="DU41" s="149">
        <f>IF((AND(DJ41=0,DL41=0)),0,(DL41+DR41)/(DJ41+DL41+DR41))</f>
        <v>1</v>
      </c>
      <c r="DV41" s="149">
        <f>DR41/$DH$4</f>
        <v>0</v>
      </c>
      <c r="DW41" s="69">
        <f>(DZ41/($DH$4*EA41))</f>
        <v>0</v>
      </c>
      <c r="DX41" s="69"/>
      <c r="DY41" s="15">
        <f>SUM(DJ41:DL41,DN41,DP41)</f>
        <v>744</v>
      </c>
      <c r="DZ41" s="8">
        <v>0</v>
      </c>
      <c r="EA41" s="8">
        <v>21</v>
      </c>
      <c r="EC41" s="74" t="s">
        <v>44</v>
      </c>
      <c r="ED41" s="37" t="s">
        <v>52</v>
      </c>
      <c r="EE41" s="8">
        <v>0</v>
      </c>
      <c r="EF41" s="8">
        <v>0</v>
      </c>
      <c r="EG41" s="8">
        <v>0</v>
      </c>
      <c r="EH41" s="8">
        <v>744</v>
      </c>
      <c r="EI41" s="6">
        <f>(EH41/$ED$4)</f>
        <v>1</v>
      </c>
      <c r="EJ41" s="8">
        <v>0</v>
      </c>
      <c r="EK41" s="6">
        <f>(EJ41/$ED$4)</f>
        <v>0</v>
      </c>
      <c r="EL41" s="6">
        <v>0</v>
      </c>
      <c r="EM41" s="6">
        <f>(EL41/$ED$4)</f>
        <v>0</v>
      </c>
      <c r="EN41" s="8">
        <v>0</v>
      </c>
      <c r="EO41" s="69">
        <f>(EE41/$X$4)*100</f>
        <v>0</v>
      </c>
      <c r="EP41" s="69">
        <f t="shared" ref="EP41:EP42" si="683">((EE41-EN41)/$ED$4)*100</f>
        <v>0</v>
      </c>
      <c r="EQ41" s="149">
        <f>IF((AND(EF41=0,EH41=0)),0,(EH41+EN41)/(EF41+EH41+EN41))</f>
        <v>1</v>
      </c>
      <c r="ER41" s="149"/>
      <c r="ES41" s="69">
        <f>(EV41/($ED$4*EW41))*100</f>
        <v>0</v>
      </c>
      <c r="ET41" s="6"/>
      <c r="EU41" s="6">
        <f>SUM(EF41:EH41,EJ41,EL41)</f>
        <v>744</v>
      </c>
      <c r="EV41" s="8">
        <v>0</v>
      </c>
      <c r="EW41" s="8">
        <v>21</v>
      </c>
      <c r="EY41" s="74" t="s">
        <v>44</v>
      </c>
      <c r="EZ41" s="37" t="s">
        <v>52</v>
      </c>
      <c r="FA41" s="8">
        <v>0</v>
      </c>
      <c r="FB41" s="8">
        <v>0</v>
      </c>
      <c r="FC41" s="8">
        <v>0</v>
      </c>
      <c r="FD41" s="8">
        <v>672</v>
      </c>
      <c r="FE41" s="6">
        <f>(FD41/$EZ$4)</f>
        <v>1</v>
      </c>
      <c r="FF41" s="8">
        <v>0</v>
      </c>
      <c r="FG41" s="6">
        <f>(FF41/$EZ$4)</f>
        <v>0</v>
      </c>
      <c r="FH41" s="6">
        <v>0</v>
      </c>
      <c r="FI41" s="6">
        <f>(FH41/$EZ$4)</f>
        <v>0</v>
      </c>
      <c r="FJ41" s="8">
        <v>0</v>
      </c>
      <c r="FK41" s="69">
        <f>(FA41/$X$4)</f>
        <v>0</v>
      </c>
      <c r="FL41" s="69">
        <f>((FA41-FJ41)/$EZ$4)</f>
        <v>0</v>
      </c>
      <c r="FM41" s="149">
        <f>IF((AND(FB41=0,FD41=0)),0,(FD41+FJ41)/(FB41+FD41+FJ41))</f>
        <v>1</v>
      </c>
      <c r="FN41" s="149">
        <f>FJ41/$EZ$4</f>
        <v>0</v>
      </c>
      <c r="FO41" s="69">
        <f>(FR41/($EZ$4*FS41))</f>
        <v>0</v>
      </c>
      <c r="FP41" s="6"/>
      <c r="FQ41" s="6">
        <f>SUM(FB41:FD41,FF41,FH41)</f>
        <v>672</v>
      </c>
      <c r="FR41" s="8">
        <v>0</v>
      </c>
      <c r="FS41" s="8">
        <v>21</v>
      </c>
      <c r="FU41" s="74" t="s">
        <v>44</v>
      </c>
      <c r="FV41" s="37" t="s">
        <v>52</v>
      </c>
      <c r="FW41" s="8">
        <v>0</v>
      </c>
      <c r="FX41" s="8">
        <v>0</v>
      </c>
      <c r="FY41" s="8">
        <v>0</v>
      </c>
      <c r="FZ41" s="8">
        <v>744</v>
      </c>
      <c r="GA41" s="69">
        <f>(FZ41/$FV$4)</f>
        <v>1</v>
      </c>
      <c r="GB41" s="8">
        <v>0</v>
      </c>
      <c r="GC41" s="69">
        <f>(GB41/$FV$4)</f>
        <v>0</v>
      </c>
      <c r="GD41" s="6">
        <v>0</v>
      </c>
      <c r="GE41" s="6">
        <f>(GD41/$FV$4)</f>
        <v>0</v>
      </c>
      <c r="GF41" s="8">
        <v>0</v>
      </c>
      <c r="GG41" s="69">
        <f>(FW41/$X$4)</f>
        <v>0</v>
      </c>
      <c r="GH41" s="69">
        <f>((FW41-GF41)/$FV$4)</f>
        <v>0</v>
      </c>
      <c r="GI41" s="149">
        <f>IF((AND(FX41=0,FZ41=0)),0,(FZ41+GF41)/(FX41+FZ41+GF41))</f>
        <v>1</v>
      </c>
      <c r="GJ41" s="149">
        <f>GF41/$FV$4</f>
        <v>0</v>
      </c>
      <c r="GK41" s="69">
        <f>(GN41/($FV$4*GO41))</f>
        <v>0</v>
      </c>
      <c r="GL41" s="69"/>
      <c r="GM41" s="6">
        <f>SUM(FX41:FZ41,GB41,GD41)</f>
        <v>744</v>
      </c>
      <c r="GN41" s="8">
        <v>0</v>
      </c>
      <c r="GO41" s="8">
        <v>21</v>
      </c>
      <c r="GQ41" s="74" t="s">
        <v>44</v>
      </c>
      <c r="GR41" s="37" t="s">
        <v>52</v>
      </c>
      <c r="GS41" s="8">
        <v>0</v>
      </c>
      <c r="GT41" s="8">
        <v>0</v>
      </c>
      <c r="GU41" s="8">
        <v>0</v>
      </c>
      <c r="GV41" s="8">
        <v>720</v>
      </c>
      <c r="GW41" s="6">
        <f>(GV41/$GR$4)</f>
        <v>1</v>
      </c>
      <c r="GX41" s="8">
        <v>0</v>
      </c>
      <c r="GY41" s="8">
        <f>(GX41/$GR$4)</f>
        <v>0</v>
      </c>
      <c r="GZ41" s="8">
        <v>0</v>
      </c>
      <c r="HA41" s="6">
        <f>(GZ41/$GR$4)</f>
        <v>0</v>
      </c>
      <c r="HB41" s="8">
        <v>0</v>
      </c>
      <c r="HC41" s="69">
        <f>(GS41/$X$4)*100</f>
        <v>0</v>
      </c>
      <c r="HD41" s="69">
        <f>((GS41-HB41)/$GR$4)</f>
        <v>0</v>
      </c>
      <c r="HE41" s="149">
        <f>IF((AND(GT41=0,GV41=0)),0,(GV41+HB41)/(GT41+GV41+HB41))</f>
        <v>1</v>
      </c>
      <c r="HF41" s="149">
        <f>HB41/$GR$4</f>
        <v>0</v>
      </c>
      <c r="HG41" s="69">
        <f>(HJ41/($GR$4*HK41))*100</f>
        <v>0</v>
      </c>
      <c r="HH41" s="15">
        <v>0</v>
      </c>
      <c r="HI41" s="6">
        <f>SUM(GT41:GV41,GX41,GZ41)</f>
        <v>720</v>
      </c>
      <c r="HJ41" s="8">
        <v>0</v>
      </c>
      <c r="HK41" s="8">
        <v>21</v>
      </c>
      <c r="HM41" s="74" t="s">
        <v>44</v>
      </c>
      <c r="HN41" s="37" t="s">
        <v>52</v>
      </c>
      <c r="HO41" s="8">
        <v>0</v>
      </c>
      <c r="HP41" s="8">
        <v>0</v>
      </c>
      <c r="HQ41" s="8">
        <v>0</v>
      </c>
      <c r="HR41" s="8">
        <v>744</v>
      </c>
      <c r="HS41" s="6">
        <f>(HR41/$HN$4)</f>
        <v>1</v>
      </c>
      <c r="HT41" s="8">
        <v>0</v>
      </c>
      <c r="HU41" s="6">
        <f>(HT41/$HN$4)</f>
        <v>0</v>
      </c>
      <c r="HV41" s="8">
        <v>0</v>
      </c>
      <c r="HW41" s="6">
        <f>(HV41/$HN$4)</f>
        <v>0</v>
      </c>
      <c r="HX41" s="8">
        <v>0</v>
      </c>
      <c r="HY41" s="69">
        <f>(HO41/$HN$4)</f>
        <v>0</v>
      </c>
      <c r="HZ41" s="69">
        <f>((HO41-HX41)/$HN$4)</f>
        <v>0</v>
      </c>
      <c r="IA41" s="69">
        <f>IF((AND(HP41=0,HR41=0)),0,(HR41+HX41)/(HP41+HR41))</f>
        <v>1</v>
      </c>
      <c r="IB41" s="149">
        <f>HX41/$HN$4</f>
        <v>0</v>
      </c>
      <c r="IC41" s="69">
        <f>(IF41/($HN$4*IG41))</f>
        <v>0</v>
      </c>
      <c r="ID41" s="15">
        <v>0</v>
      </c>
      <c r="IE41" s="6">
        <f>SUM(HP41:HR41,HT41,HV41)</f>
        <v>744</v>
      </c>
      <c r="IF41" s="8">
        <v>0</v>
      </c>
      <c r="IG41" s="8">
        <v>21</v>
      </c>
      <c r="II41" s="74" t="s">
        <v>44</v>
      </c>
      <c r="IJ41" s="37" t="s">
        <v>52</v>
      </c>
      <c r="IK41" s="8">
        <v>0</v>
      </c>
      <c r="IL41" s="8">
        <v>0</v>
      </c>
      <c r="IM41" s="8">
        <v>0</v>
      </c>
      <c r="IN41" s="8">
        <v>720</v>
      </c>
      <c r="IO41" s="69">
        <f>(IN41/$IJ$4)</f>
        <v>1</v>
      </c>
      <c r="IP41" s="8">
        <v>0</v>
      </c>
      <c r="IQ41" s="69">
        <f>(IP41/$IJ$4)</f>
        <v>0</v>
      </c>
      <c r="IR41" s="8">
        <v>0</v>
      </c>
      <c r="IS41" s="69">
        <f>(IR41/$IJ$4)</f>
        <v>0</v>
      </c>
      <c r="IT41" s="8">
        <v>0</v>
      </c>
      <c r="IU41" s="69">
        <f>(IK41/$IJ$4)</f>
        <v>0</v>
      </c>
      <c r="IV41" s="164">
        <f>((IK41-IT41)/$IJ$4)</f>
        <v>0</v>
      </c>
      <c r="IW41" s="164">
        <f>IF((AND(IL41=0,IN41=0)),0,(IN41+IT41)/(IL41+IN41+IT41))</f>
        <v>1</v>
      </c>
      <c r="IX41" s="164">
        <f>IT41/$IJ$4</f>
        <v>0</v>
      </c>
      <c r="IY41" s="69">
        <f>(JB41/($IJ$4*JC41))</f>
        <v>0</v>
      </c>
      <c r="IZ41" s="15">
        <v>0</v>
      </c>
      <c r="JA41" s="15">
        <f>SUM(IL41:IN41,IP41,IR41)</f>
        <v>720</v>
      </c>
      <c r="JB41" s="8">
        <v>0</v>
      </c>
      <c r="JC41" s="8">
        <v>21</v>
      </c>
    </row>
    <row r="42" spans="1:263" ht="14.25" x14ac:dyDescent="0.25">
      <c r="B42" s="37" t="s">
        <v>53</v>
      </c>
      <c r="C42" s="8">
        <v>0</v>
      </c>
      <c r="D42" s="8">
        <v>0</v>
      </c>
      <c r="E42" s="8">
        <v>0</v>
      </c>
      <c r="F42" s="8">
        <v>744</v>
      </c>
      <c r="G42" s="6">
        <f>(F42/$B$4)</f>
        <v>1</v>
      </c>
      <c r="H42" s="8">
        <v>0</v>
      </c>
      <c r="I42" s="6">
        <f>(H42/$B$4)</f>
        <v>0</v>
      </c>
      <c r="J42" s="6">
        <v>0</v>
      </c>
      <c r="K42" s="6">
        <f>(J42/$B$4)</f>
        <v>0</v>
      </c>
      <c r="L42" s="8">
        <v>0</v>
      </c>
      <c r="M42" s="69">
        <f>(C42/$B$4)</f>
        <v>0</v>
      </c>
      <c r="N42" s="69">
        <f>((C42-L42)/$B$4)</f>
        <v>0</v>
      </c>
      <c r="O42" s="69">
        <f>IF((AND(D42=0,F42=0)),0,(F42+L42)/(D42+F42+L42))</f>
        <v>1</v>
      </c>
      <c r="P42" s="149">
        <f>L42/$B$4</f>
        <v>0</v>
      </c>
      <c r="Q42" s="69">
        <f>(T42/($B$4*U42))</f>
        <v>0</v>
      </c>
      <c r="R42" s="15">
        <v>0</v>
      </c>
      <c r="S42" s="6">
        <f t="shared" ref="S42" si="684">SUM(D42:F42,H42,J42)</f>
        <v>744</v>
      </c>
      <c r="T42" s="8">
        <v>0</v>
      </c>
      <c r="U42" s="8">
        <v>21</v>
      </c>
      <c r="X42" s="37" t="s">
        <v>53</v>
      </c>
      <c r="Y42" s="8">
        <v>0</v>
      </c>
      <c r="Z42" s="8">
        <v>0</v>
      </c>
      <c r="AA42" s="8">
        <v>0</v>
      </c>
      <c r="AB42" s="8">
        <v>744</v>
      </c>
      <c r="AC42" s="6">
        <f>(AB42/$X$4)</f>
        <v>1</v>
      </c>
      <c r="AD42" s="8">
        <v>0</v>
      </c>
      <c r="AE42" s="6">
        <f>(AD42/$X$4)</f>
        <v>0</v>
      </c>
      <c r="AF42" s="8">
        <v>0</v>
      </c>
      <c r="AG42" s="6">
        <f>(AF42/$X$4)</f>
        <v>0</v>
      </c>
      <c r="AH42" s="8">
        <v>0</v>
      </c>
      <c r="AI42" s="69">
        <f>(Y42/$X$4)</f>
        <v>0</v>
      </c>
      <c r="AJ42" s="69">
        <f>((Y42-AH42)/$X$4)</f>
        <v>0</v>
      </c>
      <c r="AK42" s="69">
        <f>IF((AND(Z42=0,AB42=0)),0,(AB42+AH42)/(Z42+AB42+AH42))</f>
        <v>1</v>
      </c>
      <c r="AL42" s="149">
        <f>AH42/$X$4</f>
        <v>0</v>
      </c>
      <c r="AM42" s="69">
        <f>(AP42/($X$4*AQ42))</f>
        <v>0</v>
      </c>
      <c r="AN42" s="15">
        <v>0</v>
      </c>
      <c r="AO42" s="6">
        <f t="shared" ref="AO42" si="685">SUM(Z42:AB42,AD42,AF42)</f>
        <v>744</v>
      </c>
      <c r="AP42" s="8">
        <v>0</v>
      </c>
      <c r="AQ42" s="8">
        <v>21</v>
      </c>
      <c r="AT42" s="37" t="s">
        <v>53</v>
      </c>
      <c r="AU42" s="8">
        <v>0</v>
      </c>
      <c r="AV42" s="8">
        <v>0</v>
      </c>
      <c r="AW42" s="8">
        <v>0</v>
      </c>
      <c r="AX42" s="8">
        <v>720</v>
      </c>
      <c r="AY42" s="6">
        <f>(AX42/$AT$4)</f>
        <v>1</v>
      </c>
      <c r="AZ42" s="8">
        <v>0</v>
      </c>
      <c r="BA42" s="6">
        <f>(AZ42/$AT$4)</f>
        <v>0</v>
      </c>
      <c r="BB42" s="8">
        <v>0</v>
      </c>
      <c r="BC42" s="6">
        <f>(BB42/$AT$4)</f>
        <v>0</v>
      </c>
      <c r="BD42" s="8">
        <v>0</v>
      </c>
      <c r="BE42" s="69">
        <f t="shared" ref="BE42" si="686">(AU42/$AT$4)</f>
        <v>0</v>
      </c>
      <c r="BF42" s="69">
        <f t="shared" ref="BF42" si="687">((AU42-BD42)/$AT$4)</f>
        <v>0</v>
      </c>
      <c r="BG42" s="69">
        <f t="shared" ref="BG42" si="688">IF((AND(AV42=0,AX42=0)),0,(AX42+BD42)/(AV42+AX42+BD42))</f>
        <v>1</v>
      </c>
      <c r="BH42" s="149">
        <f t="shared" ref="BH42" si="689">BD42/$AT$4</f>
        <v>0</v>
      </c>
      <c r="BI42" s="69">
        <f t="shared" ref="BI42" si="690">(BL42/($AT$4*BM42))</f>
        <v>0</v>
      </c>
      <c r="BJ42" s="6"/>
      <c r="BK42" s="6">
        <f t="shared" ref="BK42" si="691">SUM(AV42:AX42,AZ42,BB42)</f>
        <v>720</v>
      </c>
      <c r="BL42" s="8">
        <v>0</v>
      </c>
      <c r="BM42" s="8">
        <v>21</v>
      </c>
      <c r="BP42" s="37" t="s">
        <v>53</v>
      </c>
      <c r="BQ42" s="8">
        <v>0</v>
      </c>
      <c r="BR42" s="8">
        <v>0</v>
      </c>
      <c r="BS42" s="8">
        <v>0</v>
      </c>
      <c r="BT42" s="8">
        <v>744</v>
      </c>
      <c r="BU42" s="6">
        <f t="shared" ref="BU42:BW42" si="692">(BT42/$BP$4)</f>
        <v>1</v>
      </c>
      <c r="BV42" s="8">
        <v>0</v>
      </c>
      <c r="BW42" s="6">
        <f t="shared" si="692"/>
        <v>0</v>
      </c>
      <c r="BX42" s="8">
        <v>0</v>
      </c>
      <c r="BY42" s="6">
        <f t="shared" ref="BY42" si="693">(BX42/$BP$4)</f>
        <v>0</v>
      </c>
      <c r="BZ42" s="8">
        <v>0</v>
      </c>
      <c r="CA42" s="69">
        <f t="shared" ref="CA42" si="694">(BQ42/$BP$4)</f>
        <v>0</v>
      </c>
      <c r="CB42" s="69">
        <f t="shared" ref="CB42" si="695">((BQ42-BZ42)/$BP$4)</f>
        <v>0</v>
      </c>
      <c r="CC42" s="149">
        <f t="shared" ref="CC42" si="696">IF((AND(BR42=0,BT42=0)),0,(BT42+BZ42)/(BR42+BT42+BZ42))</f>
        <v>1</v>
      </c>
      <c r="CD42" s="149">
        <f t="shared" ref="CD42" si="697">BZ42/$BP$4</f>
        <v>0</v>
      </c>
      <c r="CE42" s="69">
        <f t="shared" ref="CE42" si="698">(CH42/($BP$4*CI42))</f>
        <v>0</v>
      </c>
      <c r="CF42" s="69"/>
      <c r="CG42" s="42">
        <f t="shared" ref="CG42" si="699">SUM(BR42:BT42,BV42,BX42)</f>
        <v>744</v>
      </c>
      <c r="CH42" s="8">
        <v>0</v>
      </c>
      <c r="CI42" s="8">
        <v>21</v>
      </c>
      <c r="CL42" s="37" t="s">
        <v>53</v>
      </c>
      <c r="CM42" s="8">
        <v>0</v>
      </c>
      <c r="CN42" s="8">
        <v>0</v>
      </c>
      <c r="CO42" s="8">
        <v>0</v>
      </c>
      <c r="CP42" s="8">
        <v>720</v>
      </c>
      <c r="CQ42" s="6">
        <f t="shared" ref="CQ42:CS42" si="700">(CP42/$CL$4)</f>
        <v>1</v>
      </c>
      <c r="CR42" s="8">
        <v>0</v>
      </c>
      <c r="CS42" s="6">
        <f t="shared" si="700"/>
        <v>0</v>
      </c>
      <c r="CT42" s="6">
        <v>0</v>
      </c>
      <c r="CU42" s="6">
        <f t="shared" ref="CU42" si="701">(CT42/$CL$4)</f>
        <v>0</v>
      </c>
      <c r="CV42" s="8">
        <v>0</v>
      </c>
      <c r="CW42" s="69">
        <f t="shared" ref="CW42" si="702">(CM42/$CL$4)</f>
        <v>0</v>
      </c>
      <c r="CX42" s="69">
        <f t="shared" ref="CX42" si="703">((CM42-CV42)/$CL$4)</f>
        <v>0</v>
      </c>
      <c r="CY42" s="149">
        <f t="shared" ref="CY42" si="704">IF((AND(CN42=0,CP42=0)),0,(CP42+CV42)/(CN42+CP42+CV42))</f>
        <v>1</v>
      </c>
      <c r="CZ42" s="149">
        <f t="shared" ref="CZ42" si="705">CV42/$CL$4</f>
        <v>0</v>
      </c>
      <c r="DA42" s="69">
        <f t="shared" ref="DA42" si="706">(DD42/($CL$4*DE42))</f>
        <v>0</v>
      </c>
      <c r="DB42" s="6"/>
      <c r="DC42" s="6">
        <f t="shared" ref="DC42" si="707">SUM(CN42:CP42,CR42,CT42)</f>
        <v>720</v>
      </c>
      <c r="DD42" s="8">
        <v>0</v>
      </c>
      <c r="DE42" s="8">
        <v>21</v>
      </c>
      <c r="DH42" s="37" t="s">
        <v>53</v>
      </c>
      <c r="DI42" s="8">
        <v>0</v>
      </c>
      <c r="DJ42" s="8">
        <v>0</v>
      </c>
      <c r="DK42" s="8">
        <v>0</v>
      </c>
      <c r="DL42" s="8">
        <v>744</v>
      </c>
      <c r="DM42" s="69">
        <f>(DL42/$DH$4)</f>
        <v>1</v>
      </c>
      <c r="DN42" s="8">
        <v>0</v>
      </c>
      <c r="DO42" s="69">
        <f>(DN42/$DH$4)</f>
        <v>0</v>
      </c>
      <c r="DP42" s="6">
        <v>0</v>
      </c>
      <c r="DQ42" s="69">
        <f>(DP42/$DH$4)</f>
        <v>0</v>
      </c>
      <c r="DR42" s="8">
        <v>0</v>
      </c>
      <c r="DS42" s="69">
        <f t="shared" ref="DS42" si="708">(DI42/$X$4)</f>
        <v>0</v>
      </c>
      <c r="DT42" s="69">
        <f t="shared" ref="DT42" si="709">((DI42-DR42)/$DH$4)</f>
        <v>0</v>
      </c>
      <c r="DU42" s="149">
        <f t="shared" ref="DU42" si="710">IF((AND(DJ42=0,DL42=0)),0,(DL42+DR42)/(DJ42+DL42+DR42))</f>
        <v>1</v>
      </c>
      <c r="DV42" s="149">
        <f t="shared" ref="DV42" si="711">DR42/$DH$4</f>
        <v>0</v>
      </c>
      <c r="DW42" s="69">
        <f t="shared" ref="DW42" si="712">(DZ42/($DH$4*EA42))</f>
        <v>0</v>
      </c>
      <c r="DX42" s="69"/>
      <c r="DY42" s="15">
        <f t="shared" ref="DY42" si="713">SUM(DJ42:DL42,DN42,DP42)</f>
        <v>744</v>
      </c>
      <c r="DZ42" s="8">
        <v>0</v>
      </c>
      <c r="EA42" s="8">
        <v>21</v>
      </c>
      <c r="ED42" s="37" t="s">
        <v>53</v>
      </c>
      <c r="EE42" s="8">
        <v>0</v>
      </c>
      <c r="EF42" s="8">
        <v>0</v>
      </c>
      <c r="EG42" s="8">
        <v>0</v>
      </c>
      <c r="EH42" s="8">
        <v>744</v>
      </c>
      <c r="EI42" s="6">
        <f>(EH42/$ED$4)</f>
        <v>1</v>
      </c>
      <c r="EJ42" s="8">
        <v>0</v>
      </c>
      <c r="EK42" s="6">
        <f>(EJ42/$ED$4)</f>
        <v>0</v>
      </c>
      <c r="EL42" s="6">
        <v>0</v>
      </c>
      <c r="EM42" s="6">
        <f>(EL42/$ED$4)</f>
        <v>0</v>
      </c>
      <c r="EN42" s="8">
        <v>0</v>
      </c>
      <c r="EO42" s="69">
        <f>(EE42/$X$4)*100</f>
        <v>0</v>
      </c>
      <c r="EP42" s="69">
        <f t="shared" si="683"/>
        <v>0</v>
      </c>
      <c r="EQ42" s="149">
        <f t="shared" ref="EQ42" si="714">IF((AND(EF42=0,EH42=0)),0,(EH42+EN42)/(EF42+EH42+EN42))</f>
        <v>1</v>
      </c>
      <c r="ER42" s="149"/>
      <c r="ES42" s="69">
        <f t="shared" ref="ES42" si="715">(EV42/($ED$4*EW42))*100</f>
        <v>0</v>
      </c>
      <c r="ET42" s="6"/>
      <c r="EU42" s="6">
        <f t="shared" ref="EU42" si="716">SUM(EF42:EH42,EJ42,EL42)</f>
        <v>744</v>
      </c>
      <c r="EV42" s="8">
        <v>0</v>
      </c>
      <c r="EW42" s="8">
        <v>21</v>
      </c>
      <c r="EZ42" s="37" t="s">
        <v>53</v>
      </c>
      <c r="FA42" s="8">
        <v>0</v>
      </c>
      <c r="FB42" s="8">
        <v>0</v>
      </c>
      <c r="FC42" s="8">
        <v>0</v>
      </c>
      <c r="FD42" s="8">
        <v>672</v>
      </c>
      <c r="FE42" s="6">
        <f>(FD42/$EZ$4)</f>
        <v>1</v>
      </c>
      <c r="FF42" s="8">
        <v>0</v>
      </c>
      <c r="FG42" s="6">
        <f>(FF42/$EZ$4)</f>
        <v>0</v>
      </c>
      <c r="FH42" s="6">
        <v>0</v>
      </c>
      <c r="FI42" s="6">
        <f>(FH42/$EZ$4)</f>
        <v>0</v>
      </c>
      <c r="FJ42" s="8">
        <v>0</v>
      </c>
      <c r="FK42" s="69">
        <f>(FA42/$X$4)</f>
        <v>0</v>
      </c>
      <c r="FL42" s="69">
        <f>((FA42-FJ42)/$EZ$4)</f>
        <v>0</v>
      </c>
      <c r="FM42" s="149">
        <f>IF((AND(FB42=0,FD42=0)),0,(FD42+FJ42)/(FB42+FD42+FJ42))</f>
        <v>1</v>
      </c>
      <c r="FN42" s="149">
        <f>FJ42/$EZ$4</f>
        <v>0</v>
      </c>
      <c r="FO42" s="69">
        <f>(FR42/($EZ$4*FS42))</f>
        <v>0</v>
      </c>
      <c r="FP42" s="6"/>
      <c r="FQ42" s="6">
        <f t="shared" ref="FQ42" si="717">SUM(FB42:FD42,FF42,FH42)</f>
        <v>672</v>
      </c>
      <c r="FR42" s="8">
        <v>0</v>
      </c>
      <c r="FS42" s="8">
        <v>21</v>
      </c>
      <c r="FV42" s="37" t="s">
        <v>53</v>
      </c>
      <c r="FW42" s="8">
        <v>0</v>
      </c>
      <c r="FX42" s="8">
        <v>0</v>
      </c>
      <c r="FY42" s="8">
        <v>0</v>
      </c>
      <c r="FZ42" s="8">
        <v>744</v>
      </c>
      <c r="GA42" s="69">
        <f>(FZ42/$FV$4)</f>
        <v>1</v>
      </c>
      <c r="GB42" s="8">
        <v>0</v>
      </c>
      <c r="GC42" s="69">
        <f>(GB42/$FV$4)</f>
        <v>0</v>
      </c>
      <c r="GD42" s="6">
        <v>0</v>
      </c>
      <c r="GE42" s="6">
        <f>(GD42/$FV$4)</f>
        <v>0</v>
      </c>
      <c r="GF42" s="8">
        <v>0</v>
      </c>
      <c r="GG42" s="69">
        <f>(FW42/$X$4)</f>
        <v>0</v>
      </c>
      <c r="GH42" s="69">
        <f>((FW42-GF42)/$FV$4)</f>
        <v>0</v>
      </c>
      <c r="GI42" s="149">
        <f>IF((AND(FX42=0,FZ42=0)),0,(FZ42+GF42)/(FX42+FZ42+GF42))</f>
        <v>1</v>
      </c>
      <c r="GJ42" s="149">
        <f>GF42/$FV$4</f>
        <v>0</v>
      </c>
      <c r="GK42" s="69">
        <f>(GN42/($FV$4*GO42))</f>
        <v>0</v>
      </c>
      <c r="GL42" s="69"/>
      <c r="GM42" s="6">
        <f t="shared" ref="GM42" si="718">SUM(FX42:FZ42,GB42,GD42)</f>
        <v>744</v>
      </c>
      <c r="GN42" s="8">
        <v>0</v>
      </c>
      <c r="GO42" s="8">
        <v>21</v>
      </c>
      <c r="GR42" s="37" t="s">
        <v>53</v>
      </c>
      <c r="GS42" s="8">
        <v>0</v>
      </c>
      <c r="GT42" s="8">
        <v>0</v>
      </c>
      <c r="GU42" s="8">
        <v>0</v>
      </c>
      <c r="GV42" s="8">
        <v>720</v>
      </c>
      <c r="GW42" s="6">
        <f>(GV42/$GR$4)</f>
        <v>1</v>
      </c>
      <c r="GX42" s="8">
        <v>0</v>
      </c>
      <c r="GY42" s="8">
        <f>(GX42/$GR$4)</f>
        <v>0</v>
      </c>
      <c r="GZ42" s="8">
        <v>0</v>
      </c>
      <c r="HA42" s="6">
        <f>(GZ42/$GR$4)</f>
        <v>0</v>
      </c>
      <c r="HB42" s="8">
        <v>0</v>
      </c>
      <c r="HC42" s="69">
        <f>(GS42/$X$4)*100</f>
        <v>0</v>
      </c>
      <c r="HD42" s="69">
        <f>((GS42-HB42)/$GR$4)</f>
        <v>0</v>
      </c>
      <c r="HE42" s="149">
        <f t="shared" ref="HE42" si="719">IF((AND(GT42=0,GV42=0)),0,(GV42+HB42)/(GT42+GV42+HB42))</f>
        <v>1</v>
      </c>
      <c r="HF42" s="149">
        <f>HB42/$GR$4</f>
        <v>0</v>
      </c>
      <c r="HG42" s="69">
        <f>(HJ42/($GR$4*HK42))*100</f>
        <v>0</v>
      </c>
      <c r="HH42" s="15">
        <v>0</v>
      </c>
      <c r="HI42" s="6">
        <f t="shared" ref="HI42" si="720">SUM(GT42:GV42,GX42,GZ42)</f>
        <v>720</v>
      </c>
      <c r="HJ42" s="8">
        <v>0</v>
      </c>
      <c r="HK42" s="8">
        <v>21</v>
      </c>
      <c r="HN42" s="37" t="s">
        <v>53</v>
      </c>
      <c r="HO42" s="8">
        <v>0</v>
      </c>
      <c r="HP42" s="8">
        <v>0</v>
      </c>
      <c r="HQ42" s="8">
        <v>0</v>
      </c>
      <c r="HR42" s="8">
        <v>744</v>
      </c>
      <c r="HS42" s="6">
        <f>(HR42/$HN$4)</f>
        <v>1</v>
      </c>
      <c r="HT42" s="8">
        <v>0</v>
      </c>
      <c r="HU42" s="6">
        <f>(HT42/$HN$4)</f>
        <v>0</v>
      </c>
      <c r="HV42" s="8">
        <v>0</v>
      </c>
      <c r="HW42" s="6">
        <f>(HV42/$HN$4)</f>
        <v>0</v>
      </c>
      <c r="HX42" s="8">
        <v>0</v>
      </c>
      <c r="HY42" s="69">
        <f>(HO42/$HN$4)</f>
        <v>0</v>
      </c>
      <c r="HZ42" s="69">
        <f>((HO42-HX42)/$HN$4)</f>
        <v>0</v>
      </c>
      <c r="IA42" s="69">
        <f>IF((AND(HP42=0,HR42=0)),0,(HR42+HX42)/(HP42+HR42))</f>
        <v>1</v>
      </c>
      <c r="IB42" s="149">
        <f>HX42/$HN$4</f>
        <v>0</v>
      </c>
      <c r="IC42" s="69">
        <f>(IF42/($HN$4*IG42))</f>
        <v>0</v>
      </c>
      <c r="ID42" s="15">
        <v>0</v>
      </c>
      <c r="IE42" s="6">
        <f t="shared" ref="IE42" si="721">SUM(HP42:HR42,HT42,HV42)</f>
        <v>744</v>
      </c>
      <c r="IF42" s="8">
        <v>0</v>
      </c>
      <c r="IG42" s="8">
        <v>21</v>
      </c>
      <c r="IJ42" s="37" t="s">
        <v>53</v>
      </c>
      <c r="IK42" s="8">
        <v>0</v>
      </c>
      <c r="IL42" s="8">
        <v>0</v>
      </c>
      <c r="IM42" s="8">
        <v>0</v>
      </c>
      <c r="IN42" s="8">
        <v>720</v>
      </c>
      <c r="IO42" s="69">
        <f>(IN42/$IJ$4)</f>
        <v>1</v>
      </c>
      <c r="IP42" s="8">
        <v>0</v>
      </c>
      <c r="IQ42" s="69">
        <f>(IP42/$IJ$4)</f>
        <v>0</v>
      </c>
      <c r="IR42" s="8">
        <v>0</v>
      </c>
      <c r="IS42" s="69">
        <f>(IR42/$IJ$4)</f>
        <v>0</v>
      </c>
      <c r="IT42" s="8">
        <v>0</v>
      </c>
      <c r="IU42" s="69">
        <f>(IK42/$IJ$4)</f>
        <v>0</v>
      </c>
      <c r="IV42" s="164">
        <f>((IK42-IT42)/$IJ$4)</f>
        <v>0</v>
      </c>
      <c r="IW42" s="164">
        <f>IF((AND(IL42=0,IN42=0)),0,(IN42+IT42)/(IL42+IN42+IT42))</f>
        <v>1</v>
      </c>
      <c r="IX42" s="164">
        <f>IT42/$IJ$4</f>
        <v>0</v>
      </c>
      <c r="IY42" s="69">
        <f>(JB42/($IJ$4*JC42))</f>
        <v>0</v>
      </c>
      <c r="IZ42" s="15">
        <v>0</v>
      </c>
      <c r="JA42" s="15">
        <f t="shared" ref="JA42" si="722">SUM(IL42:IN42,IP42,IR42)</f>
        <v>720</v>
      </c>
      <c r="JB42" s="8">
        <v>0</v>
      </c>
      <c r="JC42" s="8">
        <v>21</v>
      </c>
    </row>
    <row r="43" spans="1:263" ht="15" x14ac:dyDescent="0.25">
      <c r="B43" s="24" t="s">
        <v>39</v>
      </c>
      <c r="C43" s="25">
        <f>SUM(C41:C42)</f>
        <v>0</v>
      </c>
      <c r="D43" s="25">
        <f t="shared" ref="D43:F43" si="723">SUM(D41:D42)</f>
        <v>0</v>
      </c>
      <c r="E43" s="25">
        <f>SUM(E41:E42)</f>
        <v>0</v>
      </c>
      <c r="F43" s="98">
        <f t="shared" si="723"/>
        <v>1488</v>
      </c>
      <c r="G43" s="78">
        <f>(G41*U41+G42*U42)/U43</f>
        <v>1</v>
      </c>
      <c r="H43" s="25">
        <f t="shared" ref="H43" si="724">SUM(H41:H42)</f>
        <v>0</v>
      </c>
      <c r="I43" s="78">
        <f>(I41*U41+I42*U42)/U43</f>
        <v>0</v>
      </c>
      <c r="J43" s="26">
        <f>SUM(J41:J42)</f>
        <v>0</v>
      </c>
      <c r="K43" s="79">
        <f>(K41*U41+K42*U42)/U43</f>
        <v>0</v>
      </c>
      <c r="L43" s="25">
        <f t="shared" ref="L43" si="725">SUM(L41:L42)</f>
        <v>0</v>
      </c>
      <c r="M43" s="78">
        <f>(M41*U41+M42*U42)/U43</f>
        <v>0</v>
      </c>
      <c r="N43" s="81">
        <f>(N41*U41+N42*U42)/U43</f>
        <v>0</v>
      </c>
      <c r="O43" s="81">
        <f>(O41*U41+O42*U42)/U43</f>
        <v>1</v>
      </c>
      <c r="P43" s="81">
        <f>(P41*U41+P42*U42)/U43</f>
        <v>0</v>
      </c>
      <c r="Q43" s="81">
        <f>(Q41*U41+Q42*U42)/U43</f>
        <v>0</v>
      </c>
      <c r="R43" s="25">
        <f t="shared" ref="R43" si="726">SUM(R41:R42)</f>
        <v>0</v>
      </c>
      <c r="S43" s="30">
        <f>SUM(S41:S42)</f>
        <v>1488</v>
      </c>
      <c r="T43" s="25">
        <f>SUM(T41:T42)</f>
        <v>0</v>
      </c>
      <c r="U43" s="25">
        <f>SUM(U41:U42)</f>
        <v>42</v>
      </c>
      <c r="X43" s="32" t="s">
        <v>39</v>
      </c>
      <c r="Y43" s="29">
        <f>SUM(Y41:Y42)</f>
        <v>0</v>
      </c>
      <c r="Z43" s="29">
        <f t="shared" ref="Z43" si="727">SUM(Z41:Z42)</f>
        <v>0</v>
      </c>
      <c r="AA43" s="29">
        <f>SUM(AA41:AA42)</f>
        <v>0</v>
      </c>
      <c r="AB43" s="29">
        <f t="shared" ref="AB43" si="728">SUM(AB41:AB42)</f>
        <v>1488</v>
      </c>
      <c r="AC43" s="79">
        <f>(AC41*AQ41+AC42*AQ42)/AQ43</f>
        <v>1</v>
      </c>
      <c r="AD43" s="29">
        <f>SUM(AD41:AD42)</f>
        <v>0</v>
      </c>
      <c r="AE43" s="79">
        <f>(AE41*AQ41+AE42*AQ42)/AQ43</f>
        <v>0</v>
      </c>
      <c r="AF43" s="30">
        <f>SUM(AF41:AF42)</f>
        <v>0</v>
      </c>
      <c r="AG43" s="79">
        <f>(AG41*AQ41+AG42*AQ42)/AQ43</f>
        <v>0</v>
      </c>
      <c r="AH43" s="29">
        <f>SUM(AH41:AH42)</f>
        <v>0</v>
      </c>
      <c r="AI43" s="78">
        <f>(AI41*AQ41+AI42*AQ42)/AQ43</f>
        <v>0</v>
      </c>
      <c r="AJ43" s="79">
        <f>(AJ41*AQ41+AJ42*AQ42)/AQ43</f>
        <v>0</v>
      </c>
      <c r="AK43" s="79">
        <f>(AK41*AQ41+AK42*AQ42)/AQ43</f>
        <v>1</v>
      </c>
      <c r="AL43" s="79">
        <f>(AL41*AQ41+AL42*AQ42)/AQ43</f>
        <v>0</v>
      </c>
      <c r="AM43" s="81">
        <f>(AM41*AQ41+AM42*AQ42)/AQ43</f>
        <v>0</v>
      </c>
      <c r="AN43" s="29">
        <f t="shared" ref="AN43" si="729">SUM(AN41:AN42)</f>
        <v>0</v>
      </c>
      <c r="AO43" s="30">
        <f>SUM(AO41:AO42)</f>
        <v>1488</v>
      </c>
      <c r="AP43" s="29">
        <f>SUM(AP41:AP42)</f>
        <v>0</v>
      </c>
      <c r="AQ43" s="29">
        <f>SUM(AQ41:AQ42)</f>
        <v>42</v>
      </c>
      <c r="AT43" s="32" t="s">
        <v>39</v>
      </c>
      <c r="AU43" s="29">
        <f>SUM(AU41:AU42)</f>
        <v>0</v>
      </c>
      <c r="AV43" s="29">
        <f t="shared" ref="AV43:AX43" si="730">SUM(AV41:AV42)</f>
        <v>0</v>
      </c>
      <c r="AW43" s="29">
        <f>SUM(AW41:AW42)</f>
        <v>0</v>
      </c>
      <c r="AX43" s="29">
        <f t="shared" si="730"/>
        <v>1440</v>
      </c>
      <c r="AY43" s="30">
        <f>(AY41*BM41+AY42*BM42)/BM43</f>
        <v>1</v>
      </c>
      <c r="AZ43" s="29">
        <f>SUM(AZ41:AZ42)</f>
        <v>0</v>
      </c>
      <c r="BA43" s="30">
        <f>(BA41*BM41+BA42*BM42)/BM43</f>
        <v>0</v>
      </c>
      <c r="BB43" s="30">
        <f>SUM(BB41:BB42)</f>
        <v>0</v>
      </c>
      <c r="BC43" s="30">
        <f>(BC41*BM41+BC42*BM42)/BM43</f>
        <v>0</v>
      </c>
      <c r="BD43" s="29">
        <f>SUM(BD41:BD42)</f>
        <v>0</v>
      </c>
      <c r="BE43" s="78">
        <f>(BE41*BM41+BE42*BM42)/BM43</f>
        <v>0</v>
      </c>
      <c r="BF43" s="79">
        <f>(BF41*BM41+BF42*BM42)/BM43</f>
        <v>0</v>
      </c>
      <c r="BG43" s="79">
        <f>(BG41*BM41+BG42*BM42)/BM43</f>
        <v>1</v>
      </c>
      <c r="BH43" s="79"/>
      <c r="BI43" s="81">
        <f>(BI41*BM41+BI42*BM42)/BM43</f>
        <v>0</v>
      </c>
      <c r="BJ43" s="149"/>
      <c r="BK43" s="30">
        <f>SUM(BK41:BK42)</f>
        <v>1440</v>
      </c>
      <c r="BL43" s="29">
        <f>SUM(BL41:BL42)</f>
        <v>0</v>
      </c>
      <c r="BM43" s="29">
        <f>SUM(BM41:BM42)</f>
        <v>42</v>
      </c>
      <c r="BP43" s="32" t="s">
        <v>39</v>
      </c>
      <c r="BQ43" s="29">
        <f>SUM(BQ41:BQ42)</f>
        <v>0</v>
      </c>
      <c r="BR43" s="29">
        <f t="shared" ref="BR43:BT43" si="731">SUM(BR41:BR42)</f>
        <v>0</v>
      </c>
      <c r="BS43" s="29">
        <f>SUM(BS41:BS42)</f>
        <v>0</v>
      </c>
      <c r="BT43" s="29">
        <f t="shared" si="731"/>
        <v>1488</v>
      </c>
      <c r="BU43" s="79">
        <f>(BU41*CI41+BU42*CI42)/CI43</f>
        <v>1</v>
      </c>
      <c r="BV43" s="29">
        <f>SUM(BV41:BV42)</f>
        <v>0</v>
      </c>
      <c r="BW43" s="79">
        <f>(BW41*CI41+BW42*CI42)/CI43</f>
        <v>0</v>
      </c>
      <c r="BX43" s="30">
        <f>SUM(BX41:BX42)</f>
        <v>0</v>
      </c>
      <c r="BY43" s="79">
        <f>(BY41*CI41+BY42*CI42)/CI43</f>
        <v>0</v>
      </c>
      <c r="BZ43" s="29">
        <f>SUM(BZ41:BZ42)</f>
        <v>0</v>
      </c>
      <c r="CA43" s="78">
        <f>(CA41*CI41+CA42*CI42)/CI43</f>
        <v>0</v>
      </c>
      <c r="CB43" s="79">
        <f>(CB41*CI41+CB42*CI42)/CI43</f>
        <v>0</v>
      </c>
      <c r="CC43" s="79">
        <f>(CC41*CI41+CC42*CI42)/CI43</f>
        <v>1</v>
      </c>
      <c r="CD43" s="79"/>
      <c r="CE43" s="81">
        <f>(CE41*CI41+CE42*CI42)/CI43</f>
        <v>0</v>
      </c>
      <c r="CF43" s="149"/>
      <c r="CG43" s="33">
        <f>SUM(CG41:CG42)</f>
        <v>1488</v>
      </c>
      <c r="CH43" s="29">
        <f>SUM(CH41:CH42)</f>
        <v>0</v>
      </c>
      <c r="CI43" s="29">
        <f>SUM(CI41:CI42)</f>
        <v>42</v>
      </c>
      <c r="CL43" s="32" t="s">
        <v>39</v>
      </c>
      <c r="CM43" s="29">
        <f>SUM(CM41:CM42)</f>
        <v>0</v>
      </c>
      <c r="CN43" s="29">
        <f t="shared" ref="CN43:CP43" si="732">SUM(CN41:CN42)</f>
        <v>0</v>
      </c>
      <c r="CO43" s="25">
        <f>SUM(CO41:CO42)</f>
        <v>0</v>
      </c>
      <c r="CP43" s="29">
        <f t="shared" si="732"/>
        <v>1440</v>
      </c>
      <c r="CQ43" s="79">
        <f>(CQ41*DE41+CQ42*DE42)/DE43</f>
        <v>1</v>
      </c>
      <c r="CR43" s="29">
        <f>SUM(CR41:CR42)</f>
        <v>0</v>
      </c>
      <c r="CS43" s="79">
        <f>(CS41*DE41+CS42*DE42)/DE43</f>
        <v>0</v>
      </c>
      <c r="CT43" s="26">
        <f>SUM(CT41:CT42)</f>
        <v>0</v>
      </c>
      <c r="CU43" s="78">
        <f>(CU41*DE41+CU42*DE42)/DE43</f>
        <v>0</v>
      </c>
      <c r="CV43" s="29">
        <f>SUM(CV41:CV42)</f>
        <v>0</v>
      </c>
      <c r="CW43" s="78">
        <f>(CW41*DE41+CW42*DE42)/DE43</f>
        <v>0</v>
      </c>
      <c r="CX43" s="79">
        <f>(CX41*DE41+CX42*DE42)/DE43</f>
        <v>0</v>
      </c>
      <c r="CY43" s="79">
        <f>(CY41*DE41+CY42*DE42)/DE43</f>
        <v>1</v>
      </c>
      <c r="CZ43" s="79"/>
      <c r="DA43" s="81">
        <f>(DA41*DE41+DA42*DE42)/DE43</f>
        <v>0</v>
      </c>
      <c r="DB43" s="149"/>
      <c r="DC43" s="30">
        <f>SUM(DC41:DC42)</f>
        <v>1440</v>
      </c>
      <c r="DD43" s="29">
        <f>SUM(DD41:DD42)</f>
        <v>0</v>
      </c>
      <c r="DE43" s="29">
        <f>SUM(DE41:DE42)</f>
        <v>42</v>
      </c>
      <c r="DH43" s="24" t="s">
        <v>39</v>
      </c>
      <c r="DI43" s="29">
        <f>SUM(DI41:DI42)</f>
        <v>0</v>
      </c>
      <c r="DJ43" s="29">
        <f t="shared" ref="DJ43:DL43" si="733">SUM(DJ41:DJ42)</f>
        <v>0</v>
      </c>
      <c r="DK43" s="29">
        <f>SUM(DK41:DK42)</f>
        <v>0</v>
      </c>
      <c r="DL43" s="29">
        <f t="shared" si="733"/>
        <v>1488</v>
      </c>
      <c r="DM43" s="79">
        <f>(DM41*EA41+DM42*EA42)/EA43</f>
        <v>1</v>
      </c>
      <c r="DN43" s="29">
        <f>SUM(DN41:DN42)</f>
        <v>0</v>
      </c>
      <c r="DO43" s="79">
        <f>(DO41*EA41+DO42*EA42)/EA43</f>
        <v>0</v>
      </c>
      <c r="DP43" s="30">
        <f>SUM(DP41:DP42)</f>
        <v>0</v>
      </c>
      <c r="DQ43" s="79">
        <f>(DQ41*EA41+DQ42*EA42)/EA43</f>
        <v>0</v>
      </c>
      <c r="DR43" s="29">
        <f>SUM(DR41:DR42)</f>
        <v>0</v>
      </c>
      <c r="DS43" s="78">
        <f>(DS41*EA41+DS42*EA42)/EA43</f>
        <v>0</v>
      </c>
      <c r="DT43" s="79">
        <f>(DT41*EA41+DT42*EA42)/EA43</f>
        <v>0</v>
      </c>
      <c r="DU43" s="79">
        <f>(DU41*EA41+DU42*EA42)/EA43</f>
        <v>1</v>
      </c>
      <c r="DV43" s="79">
        <f>(DV41*EA41+DV42*EA42)/EA43</f>
        <v>0</v>
      </c>
      <c r="DW43" s="81">
        <f>(DW41*EA41+DW42*EA42)/EA43</f>
        <v>0</v>
      </c>
      <c r="DX43" s="149"/>
      <c r="DY43" s="31">
        <f>SUM(DY41:DY42)</f>
        <v>1488</v>
      </c>
      <c r="DZ43" s="29">
        <f>SUM(DZ41:DZ42)</f>
        <v>0</v>
      </c>
      <c r="EA43" s="29">
        <f>SUM(EA41:EA42)</f>
        <v>42</v>
      </c>
      <c r="ED43" s="32" t="s">
        <v>39</v>
      </c>
      <c r="EE43" s="29">
        <f>SUM(EE41:EE42)</f>
        <v>0</v>
      </c>
      <c r="EF43" s="29">
        <f t="shared" ref="EF43:EH43" si="734">SUM(EF41:EF42)</f>
        <v>0</v>
      </c>
      <c r="EG43" s="29">
        <f>SUM(EG41:EG42)</f>
        <v>0</v>
      </c>
      <c r="EH43" s="29">
        <f t="shared" si="734"/>
        <v>1488</v>
      </c>
      <c r="EI43" s="79">
        <f>(EI41*EW41+EI42*EW42)/EW43</f>
        <v>1</v>
      </c>
      <c r="EJ43" s="29">
        <f>SUM(EJ41:EJ42)</f>
        <v>0</v>
      </c>
      <c r="EK43" s="79">
        <f>(EK41*EW41+EK42*EW42)/EW43</f>
        <v>0</v>
      </c>
      <c r="EL43" s="30">
        <f>SUM(EL41:EL42)</f>
        <v>0</v>
      </c>
      <c r="EM43" s="79">
        <f>(EM41*EW41+EM42*EW42)/EW43</f>
        <v>0</v>
      </c>
      <c r="EN43" s="29">
        <f>SUM(EN41:EN42)</f>
        <v>0</v>
      </c>
      <c r="EO43" s="78">
        <f>(EO41*EW41+EO42*EW42)/EW43</f>
        <v>0</v>
      </c>
      <c r="EP43" s="79">
        <f>(EP41*EW41+EP42*EW42)/EW43</f>
        <v>0</v>
      </c>
      <c r="EQ43" s="79">
        <f>(EQ41*EW41+EQ42*EW42)/EW43</f>
        <v>1</v>
      </c>
      <c r="ER43" s="79"/>
      <c r="ES43" s="81">
        <f>(ES41*EW41+ES42*EW42)/EW43</f>
        <v>0</v>
      </c>
      <c r="ET43" s="18"/>
      <c r="EU43" s="30">
        <f>SUM(EU41:EU42)</f>
        <v>1488</v>
      </c>
      <c r="EV43" s="29">
        <f>SUM(EV41:EV42)</f>
        <v>0</v>
      </c>
      <c r="EW43" s="29">
        <f>SUM(EW41:EW42)</f>
        <v>42</v>
      </c>
      <c r="EZ43" s="24" t="s">
        <v>39</v>
      </c>
      <c r="FA43" s="29">
        <f>SUM(FA41:FA42)</f>
        <v>0</v>
      </c>
      <c r="FB43" s="29">
        <f t="shared" ref="FB43:FD43" si="735">SUM(FB41:FB42)</f>
        <v>0</v>
      </c>
      <c r="FC43" s="29">
        <f>SUM(FC41:FC42)</f>
        <v>0</v>
      </c>
      <c r="FD43" s="29">
        <f t="shared" si="735"/>
        <v>1344</v>
      </c>
      <c r="FE43" s="79">
        <f>(FE41*FS41+FE42*FS42)/FS43</f>
        <v>1</v>
      </c>
      <c r="FF43" s="29">
        <f>SUM(FF41:FF42)</f>
        <v>0</v>
      </c>
      <c r="FG43" s="79">
        <f>(FG41*FS41+FG42*FS42)/FS43</f>
        <v>0</v>
      </c>
      <c r="FH43" s="30">
        <f>SUM(FH41:FH42)</f>
        <v>0</v>
      </c>
      <c r="FI43" s="79">
        <f>(FI41*FS41+FI42*FS42)/FS43</f>
        <v>0</v>
      </c>
      <c r="FJ43" s="29">
        <f>SUM(FJ41:FJ42)</f>
        <v>0</v>
      </c>
      <c r="FK43" s="78">
        <f>(FK41*FS41+FK42*FS42)/FS43</f>
        <v>0</v>
      </c>
      <c r="FL43" s="79">
        <f>(FL41*FS41+FL42*FS42)/FS43</f>
        <v>0</v>
      </c>
      <c r="FM43" s="79">
        <f>(FM41*FS41+FM42*FS42)/FS43</f>
        <v>1</v>
      </c>
      <c r="FN43" s="79"/>
      <c r="FO43" s="81">
        <f>(FO41*FS41+FO42*FS42)/FS43</f>
        <v>0</v>
      </c>
      <c r="FP43" s="149"/>
      <c r="FQ43" s="30">
        <f>SUM(FQ41:FQ42)</f>
        <v>1344</v>
      </c>
      <c r="FR43" s="29">
        <f>SUM(FR41:FR42)</f>
        <v>0</v>
      </c>
      <c r="FS43" s="29">
        <f>SUM(FS41:FS42)</f>
        <v>42</v>
      </c>
      <c r="FV43" s="24" t="s">
        <v>39</v>
      </c>
      <c r="FW43" s="29">
        <f>SUM(FW41:FW42)</f>
        <v>0</v>
      </c>
      <c r="FX43" s="29">
        <f t="shared" ref="FX43:FZ43" si="736">SUM(FX41:FX42)</f>
        <v>0</v>
      </c>
      <c r="FY43" s="29">
        <f>SUM(FY41:FY42)</f>
        <v>0</v>
      </c>
      <c r="FZ43" s="29">
        <f t="shared" si="736"/>
        <v>1488</v>
      </c>
      <c r="GA43" s="79">
        <f>(GA41*GO41+GA42*GO42)/GO43</f>
        <v>1</v>
      </c>
      <c r="GB43" s="29">
        <f>SUM(GB41:GB42)</f>
        <v>0</v>
      </c>
      <c r="GC43" s="79">
        <f>(GC41*GO41+GC42*GO42)/GO43</f>
        <v>0</v>
      </c>
      <c r="GD43" s="30">
        <f>SUM(GD41:GD42)</f>
        <v>0</v>
      </c>
      <c r="GE43" s="79">
        <f>(GE41*GO41+GE42*GO42)/GO43</f>
        <v>0</v>
      </c>
      <c r="GF43" s="29">
        <f>SUM(GF41:GF42)</f>
        <v>0</v>
      </c>
      <c r="GG43" s="78">
        <f>(GG41*GO41+GG42*GO42)/GO43</f>
        <v>0</v>
      </c>
      <c r="GH43" s="79">
        <f>(GH41*GO41+GH42*GO42)/GO43</f>
        <v>0</v>
      </c>
      <c r="GI43" s="79">
        <f>(GI41*GO41+GI42*GO42)/GO43</f>
        <v>1</v>
      </c>
      <c r="GJ43" s="79">
        <f>(GJ41*GO41+GJ42*GO42)/GO43</f>
        <v>0</v>
      </c>
      <c r="GK43" s="81">
        <f>(GK41*GO41+GK42*GO42)/GO43</f>
        <v>0</v>
      </c>
      <c r="GL43" s="149"/>
      <c r="GM43" s="30">
        <f>SUM(GM41:GM42)</f>
        <v>1488</v>
      </c>
      <c r="GN43" s="29">
        <f>SUM(GN41:GN42)</f>
        <v>0</v>
      </c>
      <c r="GO43" s="29">
        <f>SUM(GO41:GO42)</f>
        <v>42</v>
      </c>
      <c r="GR43" s="32" t="s">
        <v>39</v>
      </c>
      <c r="GS43" s="48">
        <f>SUM(GS41:GS42)</f>
        <v>0</v>
      </c>
      <c r="GT43" s="48">
        <f t="shared" ref="GT43:GV43" si="737">SUM(GT41:GT42)</f>
        <v>0</v>
      </c>
      <c r="GU43" s="48">
        <f>SUM(GU41:GU42)</f>
        <v>0</v>
      </c>
      <c r="GV43" s="48">
        <f t="shared" si="737"/>
        <v>1440</v>
      </c>
      <c r="GW43" s="118">
        <f>(GW41*HK41+GW42*HK42)/HK43</f>
        <v>1</v>
      </c>
      <c r="GX43" s="48">
        <f>SUM(GX41:GX42)</f>
        <v>0</v>
      </c>
      <c r="GY43" s="118">
        <f>(GY41*HK41+GY42*HK42)/HK43</f>
        <v>0</v>
      </c>
      <c r="GZ43" s="120">
        <f>SUM(GZ41:GZ42)</f>
        <v>0</v>
      </c>
      <c r="HA43" s="116">
        <f>(HA41*HK41+HA42*HK42)/HK43</f>
        <v>0</v>
      </c>
      <c r="HB43" s="48">
        <f>SUM(HB41:HB42)</f>
        <v>0</v>
      </c>
      <c r="HC43" s="116">
        <f>(HC41*HK41+HC42*HK42)/HK43</f>
        <v>0</v>
      </c>
      <c r="HD43" s="118">
        <f>(HD41*HK41+HD42*HK42)/HK43</f>
        <v>0</v>
      </c>
      <c r="HE43" s="118">
        <f>(HE41*HK41+HE42*HK42)/HK43</f>
        <v>1</v>
      </c>
      <c r="HF43" s="118">
        <f>(HF41*HK41+HF42*HK42)/HK43</f>
        <v>0</v>
      </c>
      <c r="HG43" s="119">
        <f>(HG41*HK41+HG42*HK42)/HK43</f>
        <v>0</v>
      </c>
      <c r="HH43" s="48">
        <f>SUM(HH41:HH42)</f>
        <v>0</v>
      </c>
      <c r="HI43" s="120">
        <f>SUM(HI41:HI42)</f>
        <v>1440</v>
      </c>
      <c r="HJ43" s="48">
        <f>SUM(HJ41:HJ42)</f>
        <v>0</v>
      </c>
      <c r="HK43" s="48">
        <f>SUM(HK41:HK42)</f>
        <v>42</v>
      </c>
      <c r="HN43" s="32" t="s">
        <v>39</v>
      </c>
      <c r="HO43" s="29">
        <f>SUM(HO41:HO42)</f>
        <v>0</v>
      </c>
      <c r="HP43" s="29">
        <f t="shared" ref="HP43:HR43" si="738">SUM(HP41:HP42)</f>
        <v>0</v>
      </c>
      <c r="HQ43" s="29">
        <f>SUM(HQ41:HQ42)</f>
        <v>0</v>
      </c>
      <c r="HR43" s="29">
        <f t="shared" si="738"/>
        <v>1488</v>
      </c>
      <c r="HS43" s="79">
        <f>(HS41*IG41+HS42*IG42)/IG43</f>
        <v>1</v>
      </c>
      <c r="HT43" s="29">
        <f>SUM(HT41:HT42)</f>
        <v>0</v>
      </c>
      <c r="HU43" s="79">
        <f>(HU41*IG41+HU42*IG42)/IG43</f>
        <v>0</v>
      </c>
      <c r="HV43" s="30">
        <f>SUM(HV41:HV42)</f>
        <v>0</v>
      </c>
      <c r="HW43" s="78">
        <f>(HW41*IG41+HW42*IG42)/IG43</f>
        <v>0</v>
      </c>
      <c r="HX43" s="29">
        <f>SUM(HX41:HX42)</f>
        <v>0</v>
      </c>
      <c r="HY43" s="78">
        <f>(HY41*IG41+HY42*IG42)/IG43</f>
        <v>0</v>
      </c>
      <c r="HZ43" s="79">
        <f>(HZ41*IG41+HZ42*IG42)/IG43</f>
        <v>0</v>
      </c>
      <c r="IA43" s="79">
        <f>(IA41*IG41+IA42*IG42)/IG43</f>
        <v>1</v>
      </c>
      <c r="IB43" s="79">
        <f>(IB41*IG41+IB42*IG42)/IG43</f>
        <v>0</v>
      </c>
      <c r="IC43" s="81">
        <f>(IC41*IG41+IC42*IG42)/IG43</f>
        <v>0</v>
      </c>
      <c r="ID43" s="29">
        <f t="shared" ref="ID43" si="739">SUM(ID41:ID42)</f>
        <v>0</v>
      </c>
      <c r="IE43" s="30">
        <f>SUM(IE41:IE42)</f>
        <v>1488</v>
      </c>
      <c r="IF43" s="29">
        <f>SUM(IF41:IF42)</f>
        <v>0</v>
      </c>
      <c r="IG43" s="29">
        <f>SUM(IG41:IG42)</f>
        <v>42</v>
      </c>
      <c r="IJ43" s="32" t="s">
        <v>84</v>
      </c>
      <c r="IK43" s="29">
        <f>SUM(IK41:IK42)</f>
        <v>0</v>
      </c>
      <c r="IL43" s="29">
        <f t="shared" ref="IL43" si="740">SUM(IL41:IL42)</f>
        <v>0</v>
      </c>
      <c r="IM43" s="29">
        <f>SUM(IM41:IM42)</f>
        <v>0</v>
      </c>
      <c r="IN43" s="29">
        <f t="shared" ref="IN43" si="741">SUM(IN41:IN42)</f>
        <v>1440</v>
      </c>
      <c r="IO43" s="78">
        <f>(IO41*JC41+IO42*JC42)/JC43</f>
        <v>1</v>
      </c>
      <c r="IP43" s="29">
        <f>SUM(IP41:IP42)</f>
        <v>0</v>
      </c>
      <c r="IQ43" s="78">
        <f>(IQ41*JC41+IQ42*JC42)/JC43</f>
        <v>0</v>
      </c>
      <c r="IR43" s="29">
        <f>SUM(IR41:IR42)</f>
        <v>0</v>
      </c>
      <c r="IS43" s="78">
        <f>(IS41*JC41+IS42*JC42)/JC43</f>
        <v>0</v>
      </c>
      <c r="IT43" s="29">
        <f>SUM(IT41:IT42)</f>
        <v>0</v>
      </c>
      <c r="IU43" s="79">
        <f>(IU41*JC41+IU42*JC42)/JC43</f>
        <v>0</v>
      </c>
      <c r="IV43" s="80">
        <f>(IV41*JC41+IV42*JC42)/JC43</f>
        <v>0</v>
      </c>
      <c r="IW43" s="80">
        <f>(IW41*JC41+IW42*JC42)/JC43</f>
        <v>1</v>
      </c>
      <c r="IX43" s="80">
        <f>(IX41*JC41+IX42*JC42)/JC43</f>
        <v>0</v>
      </c>
      <c r="IY43" s="80">
        <f>(IY41*JC41+IY42*JC42)/JC43</f>
        <v>0</v>
      </c>
      <c r="IZ43" s="29">
        <f>SUM(IZ41:IZ42)</f>
        <v>0</v>
      </c>
      <c r="JA43" s="33">
        <f>SUM(JA41:JA42)</f>
        <v>1440</v>
      </c>
      <c r="JB43" s="29">
        <f>SUM(JB41:JB42)</f>
        <v>0</v>
      </c>
      <c r="JC43" s="29">
        <f>SUM(JC41:JC42)</f>
        <v>42</v>
      </c>
    </row>
    <row r="44" spans="1:263" ht="15" x14ac:dyDescent="0.25">
      <c r="A44" s="74" t="s">
        <v>56</v>
      </c>
      <c r="B44" s="37" t="s">
        <v>47</v>
      </c>
      <c r="C44" s="8">
        <v>0</v>
      </c>
      <c r="D44" s="8">
        <v>0</v>
      </c>
      <c r="E44" s="8">
        <v>0</v>
      </c>
      <c r="F44" s="8">
        <v>0</v>
      </c>
      <c r="G44" s="6">
        <f>(F44/$B$4)</f>
        <v>0</v>
      </c>
      <c r="H44" s="8">
        <v>744</v>
      </c>
      <c r="I44" s="6">
        <f>(H44/$B$4)</f>
        <v>1</v>
      </c>
      <c r="J44" s="6">
        <v>0</v>
      </c>
      <c r="K44" s="6">
        <f>(J44/$B$4)</f>
        <v>0</v>
      </c>
      <c r="L44" s="8">
        <v>0</v>
      </c>
      <c r="M44" s="69">
        <f>(C44/$B$4)</f>
        <v>0</v>
      </c>
      <c r="N44" s="69">
        <f>((C44-L44)/$B$4)</f>
        <v>0</v>
      </c>
      <c r="O44" s="69">
        <f>IF((AND(D44=0,F44=0)),0,(F44+L44)/(D44+F44+L44))</f>
        <v>0</v>
      </c>
      <c r="P44" s="149">
        <f>L44/$B$4</f>
        <v>0</v>
      </c>
      <c r="Q44" s="69">
        <f>(T44/($B$4*U44))</f>
        <v>0</v>
      </c>
      <c r="R44" s="15">
        <v>0</v>
      </c>
      <c r="S44" s="6">
        <f>SUM(D44:F44,H44,J44)</f>
        <v>744</v>
      </c>
      <c r="T44" s="8">
        <v>0</v>
      </c>
      <c r="U44" s="8">
        <v>21</v>
      </c>
      <c r="W44" s="74" t="s">
        <v>56</v>
      </c>
      <c r="X44" s="37" t="s">
        <v>47</v>
      </c>
      <c r="Y44" s="8">
        <v>0</v>
      </c>
      <c r="Z44" s="8">
        <v>0</v>
      </c>
      <c r="AA44" s="8">
        <v>0</v>
      </c>
      <c r="AB44" s="8">
        <v>0</v>
      </c>
      <c r="AC44" s="6">
        <f>(AB44/$X$4)</f>
        <v>0</v>
      </c>
      <c r="AD44" s="8">
        <v>744</v>
      </c>
      <c r="AE44" s="6">
        <f>(AD44/$X$4)</f>
        <v>1</v>
      </c>
      <c r="AF44" s="8">
        <v>0</v>
      </c>
      <c r="AG44" s="6">
        <f>(AF44/$X$4)</f>
        <v>0</v>
      </c>
      <c r="AH44" s="8">
        <v>0</v>
      </c>
      <c r="AI44" s="69">
        <f>(Y44/$X$4)</f>
        <v>0</v>
      </c>
      <c r="AJ44" s="69">
        <f>((Y44-AH44)/$X$4)</f>
        <v>0</v>
      </c>
      <c r="AK44" s="69">
        <f>IF((AND(Z44=0,AB44=0)),0,(AB44+AH44)/(Z44+AB44+AH44))</f>
        <v>0</v>
      </c>
      <c r="AL44" s="149">
        <f>AH44/$X$4</f>
        <v>0</v>
      </c>
      <c r="AM44" s="69">
        <f>(AP44/($X$4*AQ44))</f>
        <v>0</v>
      </c>
      <c r="AN44" s="15">
        <v>0</v>
      </c>
      <c r="AO44" s="6">
        <f>SUM(Z44:AB44,AD44,AF44)</f>
        <v>744</v>
      </c>
      <c r="AP44" s="8">
        <v>0</v>
      </c>
      <c r="AQ44" s="8">
        <v>21</v>
      </c>
      <c r="AS44" s="74" t="s">
        <v>56</v>
      </c>
      <c r="AT44" s="37" t="s">
        <v>47</v>
      </c>
      <c r="AU44" s="8">
        <v>0</v>
      </c>
      <c r="AV44" s="8">
        <v>0</v>
      </c>
      <c r="AW44" s="8">
        <v>0</v>
      </c>
      <c r="AX44" s="8">
        <v>0</v>
      </c>
      <c r="AY44" s="8">
        <f>(AX44/$AT$4)</f>
        <v>0</v>
      </c>
      <c r="AZ44" s="8">
        <v>720</v>
      </c>
      <c r="BA44" s="8">
        <f>(AZ44/$AT$4)</f>
        <v>1</v>
      </c>
      <c r="BB44" s="8">
        <v>0</v>
      </c>
      <c r="BC44" s="8">
        <f>(BB44/$AT$4)</f>
        <v>0</v>
      </c>
      <c r="BD44" s="8">
        <v>0</v>
      </c>
      <c r="BE44" s="69">
        <f>(AU44/$AT$4)</f>
        <v>0</v>
      </c>
      <c r="BF44" s="69">
        <f>((AU44-BD44)/$AT$4)</f>
        <v>0</v>
      </c>
      <c r="BG44" s="69">
        <f>IF((AND(AV44=0,AX44=0)),0,(AX44+BD44)/(AV44+AX44+BD44))</f>
        <v>0</v>
      </c>
      <c r="BH44" s="149">
        <f>BD44/$AT$4</f>
        <v>0</v>
      </c>
      <c r="BI44" s="69">
        <f>(BL44/($AT$4*BM44))</f>
        <v>0</v>
      </c>
      <c r="BJ44" s="6"/>
      <c r="BK44" s="6">
        <f>SUM(AV44:AX44,AZ44,BB44)</f>
        <v>720</v>
      </c>
      <c r="BL44" s="8">
        <v>0</v>
      </c>
      <c r="BM44" s="8">
        <v>21</v>
      </c>
      <c r="BO44" s="74" t="s">
        <v>56</v>
      </c>
      <c r="BP44" s="37" t="s">
        <v>47</v>
      </c>
      <c r="BQ44" s="8">
        <v>0</v>
      </c>
      <c r="BR44" s="8">
        <v>0</v>
      </c>
      <c r="BS44" s="8">
        <v>0</v>
      </c>
      <c r="BT44" s="8">
        <v>0</v>
      </c>
      <c r="BU44" s="6">
        <f>(BT44/$BP$4)</f>
        <v>0</v>
      </c>
      <c r="BV44" s="8">
        <v>744</v>
      </c>
      <c r="BW44" s="6">
        <f>(BV44/$BP$4)</f>
        <v>1</v>
      </c>
      <c r="BX44" s="8">
        <v>0</v>
      </c>
      <c r="BY44" s="6">
        <f>(BX44/$BP$4)</f>
        <v>0</v>
      </c>
      <c r="BZ44" s="8">
        <v>0</v>
      </c>
      <c r="CA44" s="69">
        <f>(BQ44/$BP$4)</f>
        <v>0</v>
      </c>
      <c r="CB44" s="69">
        <f>((BQ44-BZ44)/$BP$4)</f>
        <v>0</v>
      </c>
      <c r="CC44" s="149">
        <f>IF((AND(BR44=0,BT44=0)),0,(BT44+BZ44)/(BR44+BT44+BZ44))</f>
        <v>0</v>
      </c>
      <c r="CD44" s="149">
        <f>BZ44/$BP$4</f>
        <v>0</v>
      </c>
      <c r="CE44" s="69">
        <f>(CH44/($BP$4*CI44))</f>
        <v>0</v>
      </c>
      <c r="CF44" s="69"/>
      <c r="CG44" s="42">
        <f>SUM(BR44:BT44,BV44,BX44)</f>
        <v>744</v>
      </c>
      <c r="CH44" s="8">
        <v>0</v>
      </c>
      <c r="CI44" s="8">
        <v>21</v>
      </c>
      <c r="CK44" s="74" t="s">
        <v>56</v>
      </c>
      <c r="CL44" s="37" t="s">
        <v>47</v>
      </c>
      <c r="CM44" s="8">
        <v>0</v>
      </c>
      <c r="CN44" s="8">
        <v>0</v>
      </c>
      <c r="CO44" s="8">
        <v>0</v>
      </c>
      <c r="CP44" s="8">
        <v>0</v>
      </c>
      <c r="CQ44" s="6">
        <f>(CP44/$CL$4)</f>
        <v>0</v>
      </c>
      <c r="CR44" s="8">
        <v>720</v>
      </c>
      <c r="CS44" s="6">
        <f>(CR44/$CL$4)</f>
        <v>1</v>
      </c>
      <c r="CT44" s="6">
        <v>0</v>
      </c>
      <c r="CU44" s="6">
        <f>(CT44/$CL$4)</f>
        <v>0</v>
      </c>
      <c r="CV44" s="8">
        <v>0</v>
      </c>
      <c r="CW44" s="69">
        <f>(CM44/$CL$4)</f>
        <v>0</v>
      </c>
      <c r="CX44" s="69">
        <f>((CM44-CV44)/$CL$4)</f>
        <v>0</v>
      </c>
      <c r="CY44" s="149">
        <f>IF((AND(CN44=0,CP44=0)),0,(CP44+CV44)/(CN44+CP44+CV44))</f>
        <v>0</v>
      </c>
      <c r="CZ44" s="149">
        <f>CV44/$CL$4</f>
        <v>0</v>
      </c>
      <c r="DA44" s="69">
        <f>(DD44/($CL$4*DE44))</f>
        <v>0</v>
      </c>
      <c r="DB44" s="6"/>
      <c r="DC44" s="6">
        <f>SUM(CN44:CP44,CR44,CT44)</f>
        <v>720</v>
      </c>
      <c r="DD44" s="8">
        <v>0</v>
      </c>
      <c r="DE44" s="8">
        <v>21</v>
      </c>
      <c r="DG44" s="74" t="s">
        <v>56</v>
      </c>
      <c r="DH44" s="37" t="s">
        <v>47</v>
      </c>
      <c r="DI44" s="8">
        <v>24</v>
      </c>
      <c r="DJ44" s="8">
        <v>0</v>
      </c>
      <c r="DK44" s="8">
        <v>24</v>
      </c>
      <c r="DL44" s="8">
        <v>0</v>
      </c>
      <c r="DM44" s="69">
        <f>(DL44/$DH$4)</f>
        <v>0</v>
      </c>
      <c r="DN44" s="8">
        <v>720</v>
      </c>
      <c r="DO44" s="69">
        <f>(DN44/$DH$4)</f>
        <v>0.967741935483871</v>
      </c>
      <c r="DP44" s="6">
        <v>0</v>
      </c>
      <c r="DQ44" s="69">
        <f>(DP44/$DH$4)</f>
        <v>0</v>
      </c>
      <c r="DR44" s="8">
        <v>0</v>
      </c>
      <c r="DS44" s="69">
        <f>(DI44/$X$4)</f>
        <v>3.2258064516129031E-2</v>
      </c>
      <c r="DT44" s="69">
        <f>((DI44-DR44)/$DH$4)</f>
        <v>3.2258064516129031E-2</v>
      </c>
      <c r="DU44" s="149">
        <f>IF((AND(DJ44=0,DL44=0)),0,(DL44+DR44)/(DJ44+DL44+DR44))</f>
        <v>0</v>
      </c>
      <c r="DV44" s="149">
        <f>DR44/$DH$4</f>
        <v>0</v>
      </c>
      <c r="DW44" s="69">
        <f>(DZ44/($DH$4*EA44))</f>
        <v>0</v>
      </c>
      <c r="DX44" s="69"/>
      <c r="DY44" s="15">
        <f>SUM(DJ44:DL44,DN44,DP44)</f>
        <v>744</v>
      </c>
      <c r="DZ44" s="8">
        <v>0</v>
      </c>
      <c r="EA44" s="8">
        <v>21</v>
      </c>
      <c r="EC44" s="74" t="s">
        <v>56</v>
      </c>
      <c r="ED44" s="37" t="s">
        <v>47</v>
      </c>
      <c r="EE44" s="8">
        <v>0</v>
      </c>
      <c r="EF44" s="8">
        <v>0</v>
      </c>
      <c r="EG44" s="8">
        <v>0</v>
      </c>
      <c r="EH44" s="8">
        <v>0</v>
      </c>
      <c r="EI44" s="6">
        <f>(EH44/$ED$4)</f>
        <v>0</v>
      </c>
      <c r="EJ44" s="8">
        <v>744</v>
      </c>
      <c r="EK44" s="6">
        <f>(EJ44/$ED$4)</f>
        <v>1</v>
      </c>
      <c r="EL44" s="6">
        <v>0</v>
      </c>
      <c r="EM44" s="6">
        <f>(EL44/$ED$4)</f>
        <v>0</v>
      </c>
      <c r="EN44" s="8">
        <v>0</v>
      </c>
      <c r="EO44" s="69">
        <f>(EE44/$X$4)</f>
        <v>0</v>
      </c>
      <c r="EP44" s="69">
        <f>((EE44-EN44)/$ED$4)</f>
        <v>0</v>
      </c>
      <c r="EQ44" s="149">
        <f>IF((AND(EF44=0,EH44=0)),0,(EH44+EN44)/(EF44+EH44+EN44))</f>
        <v>0</v>
      </c>
      <c r="ER44" s="149"/>
      <c r="ES44" s="69">
        <f>(EV44/($ED$4*EW44))*100</f>
        <v>0</v>
      </c>
      <c r="ET44" s="6"/>
      <c r="EU44" s="6">
        <f>SUM(EF44:EH44,EJ44,EL44)</f>
        <v>744</v>
      </c>
      <c r="EV44" s="8">
        <v>0</v>
      </c>
      <c r="EW44" s="8">
        <v>21</v>
      </c>
      <c r="EY44" s="74" t="s">
        <v>56</v>
      </c>
      <c r="EZ44" s="37" t="s">
        <v>47</v>
      </c>
      <c r="FA44" s="8">
        <v>0</v>
      </c>
      <c r="FB44" s="8">
        <v>0</v>
      </c>
      <c r="FC44" s="8">
        <v>0</v>
      </c>
      <c r="FD44" s="8">
        <v>0</v>
      </c>
      <c r="FE44" s="6">
        <f>(FD44/$EZ$4)</f>
        <v>0</v>
      </c>
      <c r="FF44" s="8">
        <v>672</v>
      </c>
      <c r="FG44" s="6">
        <f>(FF44/$EZ$4)</f>
        <v>1</v>
      </c>
      <c r="FH44" s="6">
        <v>0</v>
      </c>
      <c r="FI44" s="6">
        <f>(FH44/$EZ$4)</f>
        <v>0</v>
      </c>
      <c r="FJ44" s="8">
        <v>0</v>
      </c>
      <c r="FK44" s="69">
        <f>(FA44/$X$4)</f>
        <v>0</v>
      </c>
      <c r="FL44" s="69">
        <f>((FA44-FJ44)/$EZ$4)</f>
        <v>0</v>
      </c>
      <c r="FM44" s="149">
        <f>IF((AND(FB44=0,FD44=0)),0,(FD44+FJ44)/(FB44+FD44+FJ44))</f>
        <v>0</v>
      </c>
      <c r="FN44" s="149">
        <f>FJ44/$EZ$4</f>
        <v>0</v>
      </c>
      <c r="FO44" s="69">
        <f>(FR44/($EZ$4*FS44))</f>
        <v>0</v>
      </c>
      <c r="FP44" s="6"/>
      <c r="FQ44" s="6">
        <f>SUM(FB44:FD44,FF44,FH44)</f>
        <v>672</v>
      </c>
      <c r="FR44" s="8">
        <v>0</v>
      </c>
      <c r="FS44" s="8">
        <v>21</v>
      </c>
      <c r="FU44" s="74" t="s">
        <v>56</v>
      </c>
      <c r="FV44" s="37" t="s">
        <v>47</v>
      </c>
      <c r="FW44" s="8">
        <v>0</v>
      </c>
      <c r="FX44" s="8">
        <v>0</v>
      </c>
      <c r="FY44" s="8">
        <v>0</v>
      </c>
      <c r="FZ44" s="8">
        <v>0</v>
      </c>
      <c r="GA44" s="69">
        <f>(FZ44/$FV$4)</f>
        <v>0</v>
      </c>
      <c r="GB44" s="8">
        <v>744</v>
      </c>
      <c r="GC44" s="69">
        <f>(GB44/$FV$4)</f>
        <v>1</v>
      </c>
      <c r="GD44" s="6">
        <v>0</v>
      </c>
      <c r="GE44" s="6">
        <f>(GD44/$FV$4)</f>
        <v>0</v>
      </c>
      <c r="GF44" s="8">
        <v>0</v>
      </c>
      <c r="GG44" s="69">
        <f>(FW44/$X$4)</f>
        <v>0</v>
      </c>
      <c r="GH44" s="69">
        <f>((FW44-GF44)/$FV$4)</f>
        <v>0</v>
      </c>
      <c r="GI44" s="149">
        <f>IF((AND(FX44=0,FZ44=0)),0,(FZ44+GF44)/(FX44+FZ44+GF44))</f>
        <v>0</v>
      </c>
      <c r="GJ44" s="149">
        <f>GF44/$FV$4</f>
        <v>0</v>
      </c>
      <c r="GK44" s="69">
        <f>(GN44/($FV$4*GO44))</f>
        <v>0</v>
      </c>
      <c r="GL44" s="69"/>
      <c r="GM44" s="6">
        <f>SUM(FX44:FZ44,GB44,GD44)</f>
        <v>744</v>
      </c>
      <c r="GN44" s="8">
        <v>0</v>
      </c>
      <c r="GO44" s="8">
        <v>21</v>
      </c>
      <c r="GQ44" s="74" t="s">
        <v>56</v>
      </c>
      <c r="GR44" s="37" t="s">
        <v>47</v>
      </c>
      <c r="GS44" s="8">
        <v>0</v>
      </c>
      <c r="GT44" s="8">
        <v>0</v>
      </c>
      <c r="GU44" s="8">
        <v>0</v>
      </c>
      <c r="GV44" s="8">
        <v>0</v>
      </c>
      <c r="GW44" s="6">
        <f>(GV44/$GR$4)</f>
        <v>0</v>
      </c>
      <c r="GX44" s="8">
        <v>720</v>
      </c>
      <c r="GY44" s="8">
        <f>(GX44/$GR$4)</f>
        <v>1</v>
      </c>
      <c r="GZ44" s="8">
        <v>0</v>
      </c>
      <c r="HA44" s="6">
        <f>(GZ44/$GR$4)</f>
        <v>0</v>
      </c>
      <c r="HB44" s="8">
        <v>0</v>
      </c>
      <c r="HC44" s="69">
        <f>(GS44/$X$4)</f>
        <v>0</v>
      </c>
      <c r="HD44" s="69">
        <f>((GS44-HB44)/$GR$4)</f>
        <v>0</v>
      </c>
      <c r="HE44" s="149">
        <f>IF((AND(GT44=0,GV44=0)),0,(GV44+HB44)/(GT44+GV44+HB44))</f>
        <v>0</v>
      </c>
      <c r="HF44" s="149">
        <f>HB44/$GR$4</f>
        <v>0</v>
      </c>
      <c r="HG44" s="69">
        <f>(HJ44/($GR$4*HK44))</f>
        <v>0</v>
      </c>
      <c r="HH44" s="15">
        <v>0</v>
      </c>
      <c r="HI44" s="6">
        <f>SUM(GT44:GV44,GX44,GZ44)</f>
        <v>720</v>
      </c>
      <c r="HJ44" s="8">
        <v>0</v>
      </c>
      <c r="HK44" s="8">
        <v>21</v>
      </c>
      <c r="HM44" s="74" t="s">
        <v>56</v>
      </c>
      <c r="HN44" s="37" t="s">
        <v>47</v>
      </c>
      <c r="HO44" s="8">
        <v>0</v>
      </c>
      <c r="HP44" s="8">
        <v>0</v>
      </c>
      <c r="HQ44" s="8">
        <v>0</v>
      </c>
      <c r="HR44" s="8">
        <v>0</v>
      </c>
      <c r="HS44" s="6">
        <f>(HR44/$HN$4)</f>
        <v>0</v>
      </c>
      <c r="HT44" s="8">
        <v>744</v>
      </c>
      <c r="HU44" s="6">
        <f>(HT44/$HN$4)</f>
        <v>1</v>
      </c>
      <c r="HV44" s="8">
        <v>0</v>
      </c>
      <c r="HW44" s="6">
        <f>(HV44/$HN$4)</f>
        <v>0</v>
      </c>
      <c r="HX44" s="8">
        <v>0</v>
      </c>
      <c r="HY44" s="69">
        <f>(HO44/$HN$4)</f>
        <v>0</v>
      </c>
      <c r="HZ44" s="69">
        <f>((HO44-HX44)/$HN$4)</f>
        <v>0</v>
      </c>
      <c r="IA44" s="69">
        <f>IF((AND(HP44=0,HR44=0)),0,(HR44+HX44)/(HP44+HR44))</f>
        <v>0</v>
      </c>
      <c r="IB44" s="149">
        <f>HX44/$HN$4</f>
        <v>0</v>
      </c>
      <c r="IC44" s="69">
        <f>(IF44/($HN$4*IG44))</f>
        <v>0</v>
      </c>
      <c r="ID44" s="15">
        <v>0</v>
      </c>
      <c r="IE44" s="6">
        <f>SUM(HP44:HR44,HT44,HV44)</f>
        <v>744</v>
      </c>
      <c r="IF44" s="8">
        <v>0</v>
      </c>
      <c r="IG44" s="8">
        <v>21</v>
      </c>
      <c r="II44" s="74" t="s">
        <v>56</v>
      </c>
      <c r="IJ44" s="37" t="s">
        <v>47</v>
      </c>
      <c r="IK44" s="8">
        <v>0</v>
      </c>
      <c r="IL44" s="8">
        <v>0</v>
      </c>
      <c r="IM44" s="8">
        <v>0</v>
      </c>
      <c r="IN44" s="8">
        <v>0</v>
      </c>
      <c r="IO44" s="69">
        <f>(IN44/$IJ$4)</f>
        <v>0</v>
      </c>
      <c r="IP44" s="8">
        <v>720</v>
      </c>
      <c r="IQ44" s="69">
        <f>(IP44/$IJ$4)</f>
        <v>1</v>
      </c>
      <c r="IR44" s="8">
        <v>0</v>
      </c>
      <c r="IS44" s="69">
        <f>(IR44/$IJ$4)</f>
        <v>0</v>
      </c>
      <c r="IT44" s="8">
        <v>0</v>
      </c>
      <c r="IU44" s="69">
        <f>(IK44/$IJ$4)</f>
        <v>0</v>
      </c>
      <c r="IV44" s="164">
        <f>((IK44-IT44)/$IJ$4)</f>
        <v>0</v>
      </c>
      <c r="IW44" s="164">
        <f>IF((AND(IL44=0,IN44=0)),0,(IN44+IT44)/(IL44+IN44+IT44))</f>
        <v>0</v>
      </c>
      <c r="IX44" s="149">
        <f>IT44/$IJ$4</f>
        <v>0</v>
      </c>
      <c r="IY44" s="69">
        <f>(JB44/($IJ$4*JC44))</f>
        <v>0</v>
      </c>
      <c r="IZ44" s="15">
        <v>0</v>
      </c>
      <c r="JA44" s="15">
        <f>SUM(IL44:IN44,IP44,IR44)</f>
        <v>720</v>
      </c>
      <c r="JB44" s="8">
        <v>0</v>
      </c>
      <c r="JC44" s="8">
        <v>21</v>
      </c>
    </row>
    <row r="45" spans="1:263" ht="14.25" x14ac:dyDescent="0.25">
      <c r="B45" s="37" t="s">
        <v>48</v>
      </c>
      <c r="C45" s="8">
        <v>744</v>
      </c>
      <c r="D45" s="8">
        <v>37.5</v>
      </c>
      <c r="E45" s="8">
        <v>706.5</v>
      </c>
      <c r="F45" s="8">
        <v>0</v>
      </c>
      <c r="G45" s="6">
        <f>(F45/$B$4)</f>
        <v>0</v>
      </c>
      <c r="H45" s="8">
        <v>0</v>
      </c>
      <c r="I45" s="6">
        <f>(H45/$B$4)</f>
        <v>0</v>
      </c>
      <c r="J45" s="6">
        <v>0</v>
      </c>
      <c r="K45" s="6">
        <f>(J45/$B$4)</f>
        <v>0</v>
      </c>
      <c r="L45" s="8">
        <v>0</v>
      </c>
      <c r="M45" s="69">
        <f>(C45/$B$4)</f>
        <v>1</v>
      </c>
      <c r="N45" s="69">
        <f>((C45-L45)/$B$4)</f>
        <v>1</v>
      </c>
      <c r="O45" s="69">
        <f>IF((AND(D45=0,F45=0)),0,(F45+L45)/(D45+F45+L45))</f>
        <v>0</v>
      </c>
      <c r="P45" s="149">
        <f>L45/$B$4</f>
        <v>0</v>
      </c>
      <c r="Q45" s="69">
        <f>(T45/($B$4*U45))</f>
        <v>3.8466461853558627E-2</v>
      </c>
      <c r="R45" s="15">
        <v>0</v>
      </c>
      <c r="S45" s="6">
        <f t="shared" ref="S45" si="742">SUM(D45:F45,H45,J45)</f>
        <v>744</v>
      </c>
      <c r="T45" s="8">
        <v>601</v>
      </c>
      <c r="U45" s="8">
        <v>21</v>
      </c>
      <c r="X45" s="37" t="s">
        <v>48</v>
      </c>
      <c r="Y45" s="8">
        <v>744</v>
      </c>
      <c r="Z45" s="8">
        <v>162.9</v>
      </c>
      <c r="AA45" s="8">
        <v>581.1</v>
      </c>
      <c r="AB45" s="8">
        <v>0</v>
      </c>
      <c r="AC45" s="6">
        <f>(AB45/$X$4)</f>
        <v>0</v>
      </c>
      <c r="AD45" s="8">
        <v>0</v>
      </c>
      <c r="AE45" s="6">
        <f>(AD45/$X$4)</f>
        <v>0</v>
      </c>
      <c r="AF45" s="6">
        <v>0</v>
      </c>
      <c r="AG45" s="6">
        <f>(AF45/$X$4)</f>
        <v>0</v>
      </c>
      <c r="AH45" s="8">
        <v>0</v>
      </c>
      <c r="AI45" s="69">
        <f>(Y45/$X$4)</f>
        <v>1</v>
      </c>
      <c r="AJ45" s="69">
        <f>((Y45-AH45)/$X$4)</f>
        <v>1</v>
      </c>
      <c r="AK45" s="69">
        <f>IF((AND(Z45=0,AB45=0)),0,(AB45+AH45)/(Z45+AB45+AH45))</f>
        <v>0</v>
      </c>
      <c r="AL45" s="149">
        <f>AH45/$X$4</f>
        <v>0</v>
      </c>
      <c r="AM45" s="69">
        <f>(AP45/($X$4*AQ45))</f>
        <v>0.16737071172555043</v>
      </c>
      <c r="AN45" s="15">
        <v>0</v>
      </c>
      <c r="AO45" s="6">
        <f t="shared" ref="AO45" si="743">SUM(Z45:AB45,AD45,AF45)</f>
        <v>744</v>
      </c>
      <c r="AP45" s="86">
        <v>2615</v>
      </c>
      <c r="AQ45" s="8">
        <v>21</v>
      </c>
      <c r="AT45" s="37" t="s">
        <v>48</v>
      </c>
      <c r="AU45" s="8">
        <v>600</v>
      </c>
      <c r="AV45" s="8">
        <v>143.69999999999999</v>
      </c>
      <c r="AW45" s="8">
        <v>456.3</v>
      </c>
      <c r="AX45" s="8">
        <v>120</v>
      </c>
      <c r="AY45" s="6">
        <f>(AX45/$AT$4)</f>
        <v>0.16666666666666666</v>
      </c>
      <c r="AZ45" s="8">
        <v>0</v>
      </c>
      <c r="BA45" s="6">
        <f>(AZ45/$AT$4)</f>
        <v>0</v>
      </c>
      <c r="BB45" s="8">
        <v>0</v>
      </c>
      <c r="BC45" s="6">
        <f>(BB45/$AT$4)</f>
        <v>0</v>
      </c>
      <c r="BD45" s="8">
        <v>0</v>
      </c>
      <c r="BE45" s="69">
        <f t="shared" ref="BE45" si="744">(AU45/$AT$4)</f>
        <v>0.83333333333333337</v>
      </c>
      <c r="BF45" s="69">
        <f t="shared" ref="BF45" si="745">((AU45-BD45)/$AT$4)</f>
        <v>0.83333333333333337</v>
      </c>
      <c r="BG45" s="69">
        <f t="shared" ref="BG45" si="746">IF((AND(AV45=0,AX45=0)),0,(AX45+BD45)/(AV45+AX45+BD45))</f>
        <v>0.45506257110352677</v>
      </c>
      <c r="BH45" s="149">
        <f t="shared" ref="BH45" si="747">BD45/$AT$4</f>
        <v>0</v>
      </c>
      <c r="BI45" s="69">
        <f t="shared" ref="BI45" si="748">(BL45/($AT$4*BM45))</f>
        <v>0.15152116402116403</v>
      </c>
      <c r="BJ45" s="6"/>
      <c r="BK45" s="6">
        <f t="shared" ref="BK45" si="749">SUM(AV45:AX45,AZ45,BB45)</f>
        <v>720</v>
      </c>
      <c r="BL45" s="8">
        <v>2291</v>
      </c>
      <c r="BM45" s="8">
        <v>21</v>
      </c>
      <c r="BP45" s="37" t="s">
        <v>48</v>
      </c>
      <c r="BQ45" s="8">
        <v>576</v>
      </c>
      <c r="BR45" s="8">
        <v>86.9</v>
      </c>
      <c r="BS45" s="8">
        <v>489.1</v>
      </c>
      <c r="BT45" s="8">
        <v>168</v>
      </c>
      <c r="BU45" s="6">
        <f t="shared" ref="BU45:BW45" si="750">(BT45/$BP$4)</f>
        <v>0.22580645161290322</v>
      </c>
      <c r="BV45" s="8">
        <v>0</v>
      </c>
      <c r="BW45" s="6">
        <f t="shared" si="750"/>
        <v>0</v>
      </c>
      <c r="BX45" s="8">
        <v>0</v>
      </c>
      <c r="BY45" s="6">
        <f t="shared" ref="BY45" si="751">(BX45/$BP$4)</f>
        <v>0</v>
      </c>
      <c r="BZ45" s="8">
        <v>0</v>
      </c>
      <c r="CA45" s="69">
        <f t="shared" ref="CA45" si="752">(BQ45/$BP$4)</f>
        <v>0.77419354838709675</v>
      </c>
      <c r="CB45" s="69">
        <f t="shared" ref="CB45" si="753">((BQ45-BZ45)/$BP$4)</f>
        <v>0.77419354838709675</v>
      </c>
      <c r="CC45" s="149">
        <f t="shared" ref="CC45" si="754">IF((AND(BR45=0,BT45=0)),0,(BT45+BZ45)/(BR45+BT45+BZ45))</f>
        <v>0.65908199293840719</v>
      </c>
      <c r="CD45" s="149">
        <f t="shared" ref="CD45" si="755">BZ45/$BP$4</f>
        <v>0</v>
      </c>
      <c r="CE45" s="69">
        <f t="shared" ref="CE45" si="756">(CH45/($BP$4*CI45))</f>
        <v>8.4229390681003588E-2</v>
      </c>
      <c r="CF45" s="69"/>
      <c r="CG45" s="42">
        <f t="shared" ref="CG45" si="757">SUM(BR45:BT45,BV45,BX45)</f>
        <v>744</v>
      </c>
      <c r="CH45" s="86">
        <v>1316</v>
      </c>
      <c r="CI45" s="8">
        <v>21</v>
      </c>
      <c r="CL45" s="37" t="s">
        <v>48</v>
      </c>
      <c r="CM45" s="8">
        <v>720</v>
      </c>
      <c r="CN45" s="8">
        <v>17</v>
      </c>
      <c r="CO45" s="8">
        <v>703</v>
      </c>
      <c r="CP45" s="8">
        <v>0</v>
      </c>
      <c r="CQ45" s="6">
        <f t="shared" ref="CQ45:CS45" si="758">(CP45/$CL$4)</f>
        <v>0</v>
      </c>
      <c r="CR45" s="8">
        <v>0</v>
      </c>
      <c r="CS45" s="6">
        <f t="shared" si="758"/>
        <v>0</v>
      </c>
      <c r="CT45" s="6">
        <v>0</v>
      </c>
      <c r="CU45" s="6">
        <f t="shared" ref="CU45" si="759">(CT45/$CL$4)</f>
        <v>0</v>
      </c>
      <c r="CV45" s="8">
        <v>0</v>
      </c>
      <c r="CW45" s="69">
        <f t="shared" ref="CW45" si="760">(CM45/$CL$4)</f>
        <v>1</v>
      </c>
      <c r="CX45" s="69">
        <f t="shared" ref="CX45" si="761">((CM45-CV45)/$CL$4)</f>
        <v>1</v>
      </c>
      <c r="CY45" s="149">
        <f t="shared" ref="CY45" si="762">IF((AND(CN45=0,CP45=0)),0,(CP45+CV45)/(CN45+CP45+CV45))</f>
        <v>0</v>
      </c>
      <c r="CZ45" s="149">
        <f t="shared" ref="CZ45" si="763">CV45/$CL$4</f>
        <v>0</v>
      </c>
      <c r="DA45" s="69">
        <f t="shared" ref="DA45" si="764">(DD45/($CL$4*DE45))</f>
        <v>1.7328042328042328E-2</v>
      </c>
      <c r="DB45" s="6"/>
      <c r="DC45" s="6">
        <f t="shared" ref="DC45" si="765">SUM(CN45:CP45,CR45,CT45)</f>
        <v>720</v>
      </c>
      <c r="DD45" s="8">
        <v>262</v>
      </c>
      <c r="DE45" s="8">
        <v>21</v>
      </c>
      <c r="DH45" s="37" t="s">
        <v>48</v>
      </c>
      <c r="DI45" s="8">
        <v>744</v>
      </c>
      <c r="DJ45" s="8">
        <v>31.2</v>
      </c>
      <c r="DK45" s="8">
        <v>712.8</v>
      </c>
      <c r="DL45" s="8">
        <v>0</v>
      </c>
      <c r="DM45" s="69">
        <f>(DL45/$DH$4)</f>
        <v>0</v>
      </c>
      <c r="DN45" s="8">
        <v>0</v>
      </c>
      <c r="DO45" s="69">
        <f>(DN45/$DH$4)</f>
        <v>0</v>
      </c>
      <c r="DP45" s="6">
        <v>0</v>
      </c>
      <c r="DQ45" s="69">
        <f>(DP45/$DH$4)</f>
        <v>0</v>
      </c>
      <c r="DR45" s="8">
        <v>0</v>
      </c>
      <c r="DS45" s="69">
        <f t="shared" ref="DS45" si="766">(DI45/$X$4)</f>
        <v>1</v>
      </c>
      <c r="DT45" s="69">
        <f t="shared" ref="DT45" si="767">((DI45-DR45)/$DH$4)</f>
        <v>1</v>
      </c>
      <c r="DU45" s="149">
        <f t="shared" ref="DU45" si="768">IF((AND(DJ45=0,DL45=0)),0,(DL45+DR45)/(DJ45+DL45+DR45))</f>
        <v>0</v>
      </c>
      <c r="DV45" s="149">
        <f t="shared" ref="DV45" si="769">DR45/$DH$4</f>
        <v>0</v>
      </c>
      <c r="DW45" s="69">
        <f t="shared" ref="DW45" si="770">(DZ45/($DH$4*EA45))</f>
        <v>3.11699948796723E-2</v>
      </c>
      <c r="DX45" s="69"/>
      <c r="DY45" s="15">
        <f t="shared" ref="DY45" si="771">SUM(DJ45:DL45,DN45,DP45)</f>
        <v>744</v>
      </c>
      <c r="DZ45" s="8">
        <v>487</v>
      </c>
      <c r="EA45" s="8">
        <v>21</v>
      </c>
      <c r="ED45" s="37" t="s">
        <v>48</v>
      </c>
      <c r="EE45" s="8">
        <v>744</v>
      </c>
      <c r="EF45" s="8">
        <v>100.7</v>
      </c>
      <c r="EG45" s="8">
        <v>643.29999999999995</v>
      </c>
      <c r="EH45" s="8">
        <v>0</v>
      </c>
      <c r="EI45" s="6">
        <f>(EH45/$ED$4)</f>
        <v>0</v>
      </c>
      <c r="EJ45" s="8">
        <v>0</v>
      </c>
      <c r="EK45" s="6">
        <f>(EJ45/$ED$4)</f>
        <v>0</v>
      </c>
      <c r="EL45" s="6">
        <v>0</v>
      </c>
      <c r="EM45" s="6">
        <f>(EL45/$ED$4)</f>
        <v>0</v>
      </c>
      <c r="EN45" s="8">
        <v>0</v>
      </c>
      <c r="EO45" s="69">
        <f>(EE45/$X$4)</f>
        <v>1</v>
      </c>
      <c r="EP45" s="69">
        <f>((EE45-EN45)/$ED$4)</f>
        <v>1</v>
      </c>
      <c r="EQ45" s="149">
        <f t="shared" ref="EQ45" si="772">IF((AND(EF45=0,EH45=0)),0,(EH45+EN45)/(EF45+EH45+EN45))</f>
        <v>0</v>
      </c>
      <c r="ER45" s="149"/>
      <c r="ES45" s="69">
        <f t="shared" ref="ES45" si="773">(EV45/($ED$4*EW45))*100</f>
        <v>9.5878136200716852</v>
      </c>
      <c r="ET45" s="6"/>
      <c r="EU45" s="6">
        <f t="shared" ref="EU45" si="774">SUM(EF45:EH45,EJ45,EL45)</f>
        <v>744</v>
      </c>
      <c r="EV45" s="86">
        <v>1498</v>
      </c>
      <c r="EW45" s="8">
        <v>21</v>
      </c>
      <c r="EZ45" s="37" t="s">
        <v>48</v>
      </c>
      <c r="FA45" s="8">
        <v>672</v>
      </c>
      <c r="FB45" s="8">
        <v>66.5</v>
      </c>
      <c r="FC45" s="8">
        <v>605.5</v>
      </c>
      <c r="FD45" s="8">
        <v>0</v>
      </c>
      <c r="FE45" s="6">
        <f>(FD45/$EZ$4)</f>
        <v>0</v>
      </c>
      <c r="FF45" s="8">
        <v>0</v>
      </c>
      <c r="FG45" s="6">
        <f>(FF45/$EZ$4)</f>
        <v>0</v>
      </c>
      <c r="FH45" s="6">
        <v>0</v>
      </c>
      <c r="FI45" s="6">
        <f>(FH45/$EZ$4)</f>
        <v>0</v>
      </c>
      <c r="FJ45" s="8">
        <v>0</v>
      </c>
      <c r="FK45" s="69">
        <f>(FA45/$X$4)</f>
        <v>0.90322580645161288</v>
      </c>
      <c r="FL45" s="69">
        <f>((FA45-FJ45)/$EZ$4)</f>
        <v>1</v>
      </c>
      <c r="FM45" s="149">
        <f>IF((AND(FB45=0,FD45=0)),0,(FD45+FJ45)/(FB45+FD45+FJ45))</f>
        <v>0</v>
      </c>
      <c r="FN45" s="149">
        <f>FJ45/$EZ$4</f>
        <v>0</v>
      </c>
      <c r="FO45" s="69">
        <f>(FR45/($EZ$4*FS45))</f>
        <v>7.1074263038548746E-2</v>
      </c>
      <c r="FP45" s="6"/>
      <c r="FQ45" s="6">
        <f t="shared" ref="FQ45" si="775">SUM(FB45:FD45,FF45,FH45)</f>
        <v>672</v>
      </c>
      <c r="FR45" s="86">
        <v>1003</v>
      </c>
      <c r="FS45" s="8">
        <v>21</v>
      </c>
      <c r="FV45" s="37" t="s">
        <v>48</v>
      </c>
      <c r="FW45" s="8">
        <v>744</v>
      </c>
      <c r="FX45" s="8">
        <v>166.2</v>
      </c>
      <c r="FY45" s="8">
        <v>577.79999999999995</v>
      </c>
      <c r="FZ45" s="8">
        <v>0</v>
      </c>
      <c r="GA45" s="69">
        <f>(FZ45/$FV$4)</f>
        <v>0</v>
      </c>
      <c r="GB45" s="8">
        <v>0</v>
      </c>
      <c r="GC45" s="69">
        <f>(GB45/$FV$4)</f>
        <v>0</v>
      </c>
      <c r="GD45" s="6">
        <v>0</v>
      </c>
      <c r="GE45" s="6">
        <f>(GD45/$FV$4)</f>
        <v>0</v>
      </c>
      <c r="GF45" s="8">
        <v>0</v>
      </c>
      <c r="GG45" s="69">
        <f>(FW45/$X$4)</f>
        <v>1</v>
      </c>
      <c r="GH45" s="69">
        <f>((FW45-GF45)/$FV$4)</f>
        <v>1</v>
      </c>
      <c r="GI45" s="149">
        <f>IF((AND(FX45=0,FZ45=0)),0,(FZ45+GF45)/(FX45+FZ45+GF45))</f>
        <v>0</v>
      </c>
      <c r="GJ45" s="149">
        <f>GF45/$FV$4</f>
        <v>0</v>
      </c>
      <c r="GK45" s="69">
        <f>(GN45/($FV$4*GO45))</f>
        <v>0.1597542242703533</v>
      </c>
      <c r="GL45" s="69"/>
      <c r="GM45" s="6">
        <f t="shared" ref="GM45" si="776">SUM(FX45:FZ45,GB45,GD45)</f>
        <v>744</v>
      </c>
      <c r="GN45" s="86">
        <v>2496</v>
      </c>
      <c r="GO45" s="8">
        <v>21</v>
      </c>
      <c r="GR45" s="37" t="s">
        <v>48</v>
      </c>
      <c r="GS45" s="8">
        <v>720</v>
      </c>
      <c r="GT45" s="8">
        <v>214.3</v>
      </c>
      <c r="GU45" s="8">
        <v>505.7</v>
      </c>
      <c r="GV45" s="8">
        <v>0</v>
      </c>
      <c r="GW45" s="6">
        <f>(GV45/$GR$4)</f>
        <v>0</v>
      </c>
      <c r="GX45" s="8">
        <v>0</v>
      </c>
      <c r="GY45" s="8">
        <f>(GX45/$GR$4)</f>
        <v>0</v>
      </c>
      <c r="GZ45" s="8">
        <v>0</v>
      </c>
      <c r="HA45" s="6">
        <f>(GZ45/$GR$4)</f>
        <v>0</v>
      </c>
      <c r="HB45" s="8">
        <v>0</v>
      </c>
      <c r="HC45" s="69">
        <f>(GS45/$X$4)</f>
        <v>0.967741935483871</v>
      </c>
      <c r="HD45" s="69">
        <f>((GS45-HB45)/$GR$4)</f>
        <v>1</v>
      </c>
      <c r="HE45" s="149">
        <f t="shared" ref="HE45" si="777">IF((AND(GT45=0,GV45=0)),0,(GV45+HB45)/(GT45+GV45+HB45))</f>
        <v>0</v>
      </c>
      <c r="HF45" s="149">
        <f t="shared" ref="HF45" si="778">HB45/$GR$4</f>
        <v>0</v>
      </c>
      <c r="HG45" s="69">
        <f>(HJ45/($GR$4*HK45))</f>
        <v>0.21309523809523809</v>
      </c>
      <c r="HH45" s="15">
        <v>0</v>
      </c>
      <c r="HI45" s="6">
        <f t="shared" ref="HI45" si="779">SUM(GT45:GV45,GX45,GZ45)</f>
        <v>720</v>
      </c>
      <c r="HJ45" s="86">
        <v>3222</v>
      </c>
      <c r="HK45" s="8">
        <v>21</v>
      </c>
      <c r="HN45" s="37" t="s">
        <v>48</v>
      </c>
      <c r="HO45" s="8">
        <v>744</v>
      </c>
      <c r="HP45" s="8">
        <v>83.1</v>
      </c>
      <c r="HQ45" s="8">
        <v>660.9</v>
      </c>
      <c r="HR45" s="8">
        <v>0</v>
      </c>
      <c r="HS45" s="6">
        <f>(HR45/$HN$4)</f>
        <v>0</v>
      </c>
      <c r="HT45" s="8">
        <v>0</v>
      </c>
      <c r="HU45" s="6">
        <f>(HT45/$HN$4)</f>
        <v>0</v>
      </c>
      <c r="HV45" s="8">
        <v>0</v>
      </c>
      <c r="HW45" s="6">
        <f>(HV45/$HN$4)</f>
        <v>0</v>
      </c>
      <c r="HX45" s="8">
        <v>0</v>
      </c>
      <c r="HY45" s="69">
        <f>(HO45/$HN$4)</f>
        <v>1</v>
      </c>
      <c r="HZ45" s="69">
        <f>((HO45-HX45)/$HN$4)</f>
        <v>1</v>
      </c>
      <c r="IA45" s="69">
        <f>IF((AND(HP45=0,HR45=0)),0,(HR45+HX45)/(HP45+HR45))</f>
        <v>0</v>
      </c>
      <c r="IB45" s="149">
        <f>HX45/$HN$4</f>
        <v>0</v>
      </c>
      <c r="IC45" s="69">
        <f>(IF45/($HN$4*IG45))</f>
        <v>8.0133128520225291E-2</v>
      </c>
      <c r="ID45" s="15">
        <v>0</v>
      </c>
      <c r="IE45" s="6">
        <f t="shared" ref="IE45" si="780">SUM(HP45:HR45,HT45,HV45)</f>
        <v>744</v>
      </c>
      <c r="IF45" s="86">
        <v>1252</v>
      </c>
      <c r="IG45" s="8">
        <v>21</v>
      </c>
      <c r="IJ45" s="37" t="s">
        <v>48</v>
      </c>
      <c r="IK45" s="8">
        <v>720</v>
      </c>
      <c r="IL45" s="8">
        <v>124.1</v>
      </c>
      <c r="IM45" s="8">
        <v>595.9</v>
      </c>
      <c r="IN45" s="8">
        <v>0</v>
      </c>
      <c r="IO45" s="69">
        <f>(IN45/$IJ$4)</f>
        <v>0</v>
      </c>
      <c r="IP45" s="8">
        <v>0</v>
      </c>
      <c r="IQ45" s="69">
        <f>(IP45/$IJ$4)</f>
        <v>0</v>
      </c>
      <c r="IR45" s="8">
        <v>0</v>
      </c>
      <c r="IS45" s="69">
        <f>(IR45/$IJ$4)</f>
        <v>0</v>
      </c>
      <c r="IT45" s="8">
        <v>0</v>
      </c>
      <c r="IU45" s="69">
        <f>(IK45/$IJ$4)</f>
        <v>1</v>
      </c>
      <c r="IV45" s="164">
        <f>((IK45-IT45)/$IJ$4)</f>
        <v>1</v>
      </c>
      <c r="IW45" s="164">
        <f>IF((AND(IL45=0,IN45=0)),0,(IN45+IT45)/(IL45+IN45+IT45))</f>
        <v>0</v>
      </c>
      <c r="IX45" s="149">
        <f t="shared" ref="IX45" si="781">IT45/$IJ$4</f>
        <v>0</v>
      </c>
      <c r="IY45" s="69">
        <f>(JB45/($IJ$4*JC45))</f>
        <v>0.12347883597883598</v>
      </c>
      <c r="IZ45" s="15">
        <v>0</v>
      </c>
      <c r="JA45" s="15">
        <f t="shared" ref="JA45" si="782">SUM(IL45:IN45,IP45,IR45)</f>
        <v>720</v>
      </c>
      <c r="JB45" s="46">
        <v>1867</v>
      </c>
      <c r="JC45" s="8">
        <v>21</v>
      </c>
    </row>
    <row r="46" spans="1:263" ht="15" x14ac:dyDescent="0.25">
      <c r="B46" s="95" t="s">
        <v>39</v>
      </c>
      <c r="C46" s="25">
        <f>SUM(C44:C45)</f>
        <v>744</v>
      </c>
      <c r="D46" s="25">
        <f t="shared" ref="D46" si="783">SUM(D44:D45)</f>
        <v>37.5</v>
      </c>
      <c r="E46" s="25">
        <f>SUM(E44:E45)</f>
        <v>706.5</v>
      </c>
      <c r="F46" s="25">
        <f t="shared" ref="F46:L46" si="784">SUM(F44:F45)</f>
        <v>0</v>
      </c>
      <c r="G46" s="78">
        <f>(G44*U44+G45*U45)/U46</f>
        <v>0</v>
      </c>
      <c r="H46" s="25">
        <f t="shared" si="784"/>
        <v>744</v>
      </c>
      <c r="I46" s="78">
        <f>(I44*U44+I45*U45)/U46</f>
        <v>0.5</v>
      </c>
      <c r="J46" s="26">
        <f>SUM(J44:J45)</f>
        <v>0</v>
      </c>
      <c r="K46" s="79">
        <f>(K44*U44+K45*U45)/U46</f>
        <v>0</v>
      </c>
      <c r="L46" s="25">
        <f t="shared" si="784"/>
        <v>0</v>
      </c>
      <c r="M46" s="78">
        <f>(M44*U44+M45*U45)/U46</f>
        <v>0.5</v>
      </c>
      <c r="N46" s="81">
        <f>(N44*U44+N45*U45)/U46</f>
        <v>0.5</v>
      </c>
      <c r="O46" s="81">
        <f>(O44*U44+O45*U45)/U46</f>
        <v>0</v>
      </c>
      <c r="P46" s="81">
        <f>(P44*U44+P45*U45)/U46</f>
        <v>0</v>
      </c>
      <c r="Q46" s="81">
        <f>(Q44*U44+Q45*U45)/U46</f>
        <v>1.9233230926779313E-2</v>
      </c>
      <c r="R46" s="29">
        <f t="shared" ref="R46" si="785">SUM(R44:R45)</f>
        <v>0</v>
      </c>
      <c r="S46" s="30">
        <f>SUM(S44:S45)</f>
        <v>1488</v>
      </c>
      <c r="T46" s="25">
        <f>SUM(T44:T45)</f>
        <v>601</v>
      </c>
      <c r="U46" s="25">
        <f>SUM(U44:U45)</f>
        <v>42</v>
      </c>
      <c r="X46" s="87" t="s">
        <v>39</v>
      </c>
      <c r="Y46" s="29">
        <f>SUM(Y44:Y45)</f>
        <v>744</v>
      </c>
      <c r="Z46" s="29">
        <f t="shared" ref="Z46:AB46" si="786">SUM(Z44:Z45)</f>
        <v>162.9</v>
      </c>
      <c r="AA46" s="29">
        <f>SUM(AA44:AA45)</f>
        <v>581.1</v>
      </c>
      <c r="AB46" s="29">
        <f t="shared" si="786"/>
        <v>0</v>
      </c>
      <c r="AC46" s="79">
        <f>(AC44*AQ44+AC45*AQ45)/AQ46</f>
        <v>0</v>
      </c>
      <c r="AD46" s="29">
        <f t="shared" ref="AD46:AH46" si="787">SUM(AD44:AD45)</f>
        <v>744</v>
      </c>
      <c r="AE46" s="79">
        <f>(AE44*AQ44+AE45*AQ45)/AQ46</f>
        <v>0.5</v>
      </c>
      <c r="AF46" s="30">
        <f>SUM(AF44:AF45)</f>
        <v>0</v>
      </c>
      <c r="AG46" s="79">
        <f>SUM(AG44:AG45)</f>
        <v>0</v>
      </c>
      <c r="AH46" s="29">
        <f t="shared" si="787"/>
        <v>0</v>
      </c>
      <c r="AI46" s="78">
        <f>(AI44*AQ44+AI45*AQ45)/AQ46</f>
        <v>0.5</v>
      </c>
      <c r="AJ46" s="79">
        <f>(AJ44*AQ44+AJ45*AQ45)/AQ46</f>
        <v>0.5</v>
      </c>
      <c r="AK46" s="79">
        <f>(AK44*AQ44+AK45*AQ45)/AQ46</f>
        <v>0</v>
      </c>
      <c r="AL46" s="79"/>
      <c r="AM46" s="81">
        <f>(AM44*AQ44+AM45*AQ45)/AQ46</f>
        <v>8.3685355862775215E-2</v>
      </c>
      <c r="AN46" s="29">
        <f t="shared" ref="AN46" si="788">SUM(AN44:AN45)</f>
        <v>0</v>
      </c>
      <c r="AO46" s="30">
        <f>SUM(AO44:AO45)</f>
        <v>1488</v>
      </c>
      <c r="AP46" s="33">
        <f>SUM(AP44:AP45)</f>
        <v>2615</v>
      </c>
      <c r="AQ46" s="29">
        <f>SUM(AQ44:AQ45)</f>
        <v>42</v>
      </c>
      <c r="AT46" s="87" t="s">
        <v>39</v>
      </c>
      <c r="AU46" s="29">
        <f>SUM(AU44:AU45)</f>
        <v>600</v>
      </c>
      <c r="AV46" s="29">
        <f t="shared" ref="AV46:AX46" si="789">SUM(AV44:AV45)</f>
        <v>143.69999999999999</v>
      </c>
      <c r="AW46" s="29">
        <f>SUM(AW44:AW45)</f>
        <v>456.3</v>
      </c>
      <c r="AX46" s="29">
        <f t="shared" si="789"/>
        <v>120</v>
      </c>
      <c r="AY46" s="30">
        <f>(AY44*BM44+AY45*BM45)/BM46</f>
        <v>8.3333333333333329E-2</v>
      </c>
      <c r="AZ46" s="29">
        <f t="shared" ref="AZ46:BD46" si="790">SUM(AZ44:AZ45)</f>
        <v>720</v>
      </c>
      <c r="BA46" s="30">
        <f>(BA44*BM44+BA45*BM45)/BM46</f>
        <v>0.5</v>
      </c>
      <c r="BB46" s="30">
        <f>SUM(BB44:BB45)</f>
        <v>0</v>
      </c>
      <c r="BC46" s="30">
        <f>(BC44*BM44+BC45*BM45)/BM46</f>
        <v>0</v>
      </c>
      <c r="BD46" s="29">
        <f t="shared" si="790"/>
        <v>0</v>
      </c>
      <c r="BE46" s="78">
        <f>(BE44*BM44+BE45*BM45)/BM46</f>
        <v>0.41666666666666669</v>
      </c>
      <c r="BF46" s="79">
        <f>(BF44*BM44+BF45*BM45)/BM46</f>
        <v>0.41666666666666669</v>
      </c>
      <c r="BG46" s="79">
        <f>(BG44*BM44+BG45*BM45)/BM46</f>
        <v>0.22753128555176336</v>
      </c>
      <c r="BH46" s="79"/>
      <c r="BI46" s="81">
        <f>(BI44*BM44+BI45*BM45)/BM46</f>
        <v>7.5760582010582014E-2</v>
      </c>
      <c r="BJ46" s="149"/>
      <c r="BK46" s="30">
        <f>SUM(BK44:BK45)</f>
        <v>1440</v>
      </c>
      <c r="BL46" s="33">
        <f>SUM(BL44:BL45)</f>
        <v>2291</v>
      </c>
      <c r="BM46" s="29">
        <f>SUM(BM44:BM45)</f>
        <v>42</v>
      </c>
      <c r="BP46" s="87" t="s">
        <v>39</v>
      </c>
      <c r="BQ46" s="29">
        <f>SUM(BQ44:BQ45)</f>
        <v>576</v>
      </c>
      <c r="BR46" s="29">
        <f t="shared" ref="BR46:BT46" si="791">SUM(BR44:BR45)</f>
        <v>86.9</v>
      </c>
      <c r="BS46" s="29">
        <f>SUM(BS44:BS45)</f>
        <v>489.1</v>
      </c>
      <c r="BT46" s="29">
        <f t="shared" si="791"/>
        <v>168</v>
      </c>
      <c r="BU46" s="79">
        <f>(BU44*CI44+BU45*CI45)/CI46</f>
        <v>0.11290322580645162</v>
      </c>
      <c r="BV46" s="29">
        <f t="shared" ref="BV46:BZ46" si="792">SUM(BV44:BV45)</f>
        <v>744</v>
      </c>
      <c r="BW46" s="79">
        <f>(BW44*CI44+BW45*CI45)/CI46</f>
        <v>0.5</v>
      </c>
      <c r="BX46" s="30">
        <f>SUM(BX44:BX45)</f>
        <v>0</v>
      </c>
      <c r="BY46" s="79">
        <f>(BY44*CI44+BY45*CI45)/CI46</f>
        <v>0</v>
      </c>
      <c r="BZ46" s="29">
        <f t="shared" si="792"/>
        <v>0</v>
      </c>
      <c r="CA46" s="78">
        <f>(CA44*CI44+CA45*CI45)/CI46</f>
        <v>0.38709677419354838</v>
      </c>
      <c r="CB46" s="79">
        <f>(CB44*CI44+CB45*CI45)/CI46</f>
        <v>0.38709677419354838</v>
      </c>
      <c r="CC46" s="79">
        <f>(CC44*CI44+CC45*CI45)/CI46</f>
        <v>0.3295409964692036</v>
      </c>
      <c r="CD46" s="79"/>
      <c r="CE46" s="81">
        <f>(CE44*CI44+CE45*CI45)/CI46</f>
        <v>4.2114695340501794E-2</v>
      </c>
      <c r="CF46" s="149"/>
      <c r="CG46" s="33">
        <f>SUM(CG44:CG45)</f>
        <v>1488</v>
      </c>
      <c r="CH46" s="89">
        <f>SUM(CH44:CH45)</f>
        <v>1316</v>
      </c>
      <c r="CI46" s="29">
        <f>SUM(CI44:CI45)</f>
        <v>42</v>
      </c>
      <c r="CL46" s="87" t="s">
        <v>39</v>
      </c>
      <c r="CM46" s="29">
        <f>SUM(CM44:CM45)</f>
        <v>720</v>
      </c>
      <c r="CN46" s="29">
        <f t="shared" ref="CN46:CP46" si="793">SUM(CN44:CN45)</f>
        <v>17</v>
      </c>
      <c r="CO46" s="29">
        <f>SUM(CO44:CO45)</f>
        <v>703</v>
      </c>
      <c r="CP46" s="29">
        <f t="shared" si="793"/>
        <v>0</v>
      </c>
      <c r="CQ46" s="79">
        <f>(CQ44*DE44+CQ45*DE45)/DE46</f>
        <v>0</v>
      </c>
      <c r="CR46" s="29">
        <f t="shared" ref="CR46:CV46" si="794">SUM(CR44:CR45)</f>
        <v>720</v>
      </c>
      <c r="CS46" s="79">
        <f>(CS44*DE44+CS45*DE45)/DE46</f>
        <v>0.5</v>
      </c>
      <c r="CT46" s="30">
        <f>SUM(CT44:CT45)</f>
        <v>0</v>
      </c>
      <c r="CU46" s="78">
        <f>(CU44*DE44+CU45*DE45)/DE46</f>
        <v>0</v>
      </c>
      <c r="CV46" s="29">
        <f t="shared" si="794"/>
        <v>0</v>
      </c>
      <c r="CW46" s="78">
        <f>(CW44*DE44+CW45*DE45)/DE46</f>
        <v>0.5</v>
      </c>
      <c r="CX46" s="79">
        <f>(CX44*DE44+CX45*DE45)/DE46</f>
        <v>0.5</v>
      </c>
      <c r="CY46" s="79">
        <f>(CY44*DE44+CY45*DE45)/DE46</f>
        <v>0</v>
      </c>
      <c r="CZ46" s="79"/>
      <c r="DA46" s="81">
        <f>(DA44*DE44+DA45*DE45)/DE46</f>
        <v>8.6640211640211639E-3</v>
      </c>
      <c r="DB46" s="149"/>
      <c r="DC46" s="30">
        <f>SUM(DC44:DC45)</f>
        <v>1440</v>
      </c>
      <c r="DD46" s="29">
        <f>SUM(DD44:DD45)</f>
        <v>262</v>
      </c>
      <c r="DE46" s="29">
        <f>SUM(DE44:DE45)</f>
        <v>42</v>
      </c>
      <c r="DH46" s="87" t="s">
        <v>39</v>
      </c>
      <c r="DI46" s="29">
        <f>SUM(DI44:DI45)</f>
        <v>768</v>
      </c>
      <c r="DJ46" s="29">
        <f t="shared" ref="DJ46:DL46" si="795">SUM(DJ44:DJ45)</f>
        <v>31.2</v>
      </c>
      <c r="DK46" s="29">
        <f>SUM(DK44:DK45)</f>
        <v>736.8</v>
      </c>
      <c r="DL46" s="29">
        <f t="shared" si="795"/>
        <v>0</v>
      </c>
      <c r="DM46" s="79">
        <f>(DM44*EA44+DM45*EA45)/EA46</f>
        <v>0</v>
      </c>
      <c r="DN46" s="29">
        <f t="shared" ref="DN46:DR46" si="796">SUM(DN44:DN45)</f>
        <v>720</v>
      </c>
      <c r="DO46" s="79">
        <f>(DO44*EA44+DO45*EA45)/EA46</f>
        <v>0.4838709677419355</v>
      </c>
      <c r="DP46" s="30">
        <f>SUM(DP44:DP45)</f>
        <v>0</v>
      </c>
      <c r="DQ46" s="79">
        <f>(DQ44*EA44+DQ45*EA45)/EA46</f>
        <v>0</v>
      </c>
      <c r="DR46" s="29">
        <f t="shared" si="796"/>
        <v>0</v>
      </c>
      <c r="DS46" s="78">
        <f>(DS44*EA44+DS45*EA45)/EA46</f>
        <v>0.5161290322580645</v>
      </c>
      <c r="DT46" s="79">
        <f>(DT44*EA44+DT45*EA45)/EA46</f>
        <v>0.5161290322580645</v>
      </c>
      <c r="DU46" s="79">
        <f>(DU44*EA44+DU45*EA45)/EA46</f>
        <v>0</v>
      </c>
      <c r="DV46" s="79">
        <f>(DV44*EA44+DV45*EA45)/EA46</f>
        <v>0</v>
      </c>
      <c r="DW46" s="81">
        <f>(DW44*EA44+DW45*EA45)/EA46</f>
        <v>1.5584997439836148E-2</v>
      </c>
      <c r="DX46" s="149"/>
      <c r="DY46" s="31">
        <f>SUM(DY44:DY45)</f>
        <v>1488</v>
      </c>
      <c r="DZ46" s="29">
        <f>SUM(DZ44:DZ45)</f>
        <v>487</v>
      </c>
      <c r="EA46" s="29">
        <f>SUM(EA44:EA45)</f>
        <v>42</v>
      </c>
      <c r="ED46" s="87" t="s">
        <v>39</v>
      </c>
      <c r="EE46" s="29">
        <f>SUM(EE44:EE45)</f>
        <v>744</v>
      </c>
      <c r="EF46" s="29">
        <f t="shared" ref="EF46:EH46" si="797">SUM(EF44:EF45)</f>
        <v>100.7</v>
      </c>
      <c r="EG46" s="29">
        <f>SUM(EG44:EG45)</f>
        <v>643.29999999999995</v>
      </c>
      <c r="EH46" s="29">
        <f t="shared" si="797"/>
        <v>0</v>
      </c>
      <c r="EI46" s="79">
        <f>(EI44*EW44+EI45*EW45)/EW46</f>
        <v>0</v>
      </c>
      <c r="EJ46" s="29">
        <f t="shared" ref="EJ46:EN46" si="798">SUM(EJ44:EJ45)</f>
        <v>744</v>
      </c>
      <c r="EK46" s="79">
        <f>(EK44*EW44+EK45*EW45)/EW46</f>
        <v>0.5</v>
      </c>
      <c r="EL46" s="30">
        <f>SUM(EL44:EL45)</f>
        <v>0</v>
      </c>
      <c r="EM46" s="79">
        <f>(EM44*EW44+EM45*EW45)/EW46</f>
        <v>0</v>
      </c>
      <c r="EN46" s="29">
        <f t="shared" si="798"/>
        <v>0</v>
      </c>
      <c r="EO46" s="78">
        <f>(EO44*EW44+EO45*EW45)/EW46</f>
        <v>0.5</v>
      </c>
      <c r="EP46" s="79">
        <f>(EP44*EW44+EP45*EW45)/EW46</f>
        <v>0.5</v>
      </c>
      <c r="EQ46" s="79">
        <f>(EQ44*EW44+EQ45*EW45)/EW46</f>
        <v>0</v>
      </c>
      <c r="ER46" s="79"/>
      <c r="ES46" s="81">
        <f>(ES44*EW44+ES45*EW45)/EW46</f>
        <v>4.7939068100358426</v>
      </c>
      <c r="ET46" s="18"/>
      <c r="EU46" s="30">
        <f>SUM(EU44:EU45)</f>
        <v>1488</v>
      </c>
      <c r="EV46" s="89">
        <f>SUM(EV44:EV45)</f>
        <v>1498</v>
      </c>
      <c r="EW46" s="29">
        <f>SUM(EW44:EW45)</f>
        <v>42</v>
      </c>
      <c r="EZ46" s="87" t="s">
        <v>39</v>
      </c>
      <c r="FA46" s="29">
        <f>SUM(FA44:FA45)</f>
        <v>672</v>
      </c>
      <c r="FB46" s="29">
        <f t="shared" ref="FB46:FD46" si="799">SUM(FB44:FB45)</f>
        <v>66.5</v>
      </c>
      <c r="FC46" s="29">
        <f>SUM(FC44:FC45)</f>
        <v>605.5</v>
      </c>
      <c r="FD46" s="29">
        <f t="shared" si="799"/>
        <v>0</v>
      </c>
      <c r="FE46" s="79">
        <f>(FE44*FS44+FE45*FS45)/FS46</f>
        <v>0</v>
      </c>
      <c r="FF46" s="29">
        <f t="shared" ref="FF46:FJ46" si="800">SUM(FF44:FF45)</f>
        <v>672</v>
      </c>
      <c r="FG46" s="79">
        <f>(FG44*FS44+FG45*FS45)/FS46</f>
        <v>0.5</v>
      </c>
      <c r="FH46" s="30">
        <f>SUM(FH44:FH45)</f>
        <v>0</v>
      </c>
      <c r="FI46" s="79">
        <f>(FI44*FS44+FI45*FS45)/FS46</f>
        <v>0</v>
      </c>
      <c r="FJ46" s="29">
        <f t="shared" si="800"/>
        <v>0</v>
      </c>
      <c r="FK46" s="78">
        <f>(FK44*FS44+FK45*FS45)/FS46</f>
        <v>0.45161290322580649</v>
      </c>
      <c r="FL46" s="79">
        <f>(FL44*FS44+FL45*FS45)/FS46</f>
        <v>0.5</v>
      </c>
      <c r="FM46" s="79">
        <f>(FM44*FS44+FM45*FS45)/FS46</f>
        <v>0</v>
      </c>
      <c r="FN46" s="79"/>
      <c r="FO46" s="81">
        <f>(FO44*FS44+FO45*FS45)/FS46</f>
        <v>3.5537131519274373E-2</v>
      </c>
      <c r="FP46" s="149"/>
      <c r="FQ46" s="30">
        <f>SUM(FQ44:FQ45)</f>
        <v>1344</v>
      </c>
      <c r="FR46" s="33">
        <f>SUM(FR44:FR45)</f>
        <v>1003</v>
      </c>
      <c r="FS46" s="29">
        <f>SUM(FS44:FS45)</f>
        <v>42</v>
      </c>
      <c r="FV46" s="87" t="s">
        <v>39</v>
      </c>
      <c r="FW46" s="29">
        <f>SUM(FW44:FW45)</f>
        <v>744</v>
      </c>
      <c r="FX46" s="29">
        <f t="shared" ref="FX46:FZ46" si="801">SUM(FX44:FX45)</f>
        <v>166.2</v>
      </c>
      <c r="FY46" s="29">
        <f>SUM(FY44:FY45)</f>
        <v>577.79999999999995</v>
      </c>
      <c r="FZ46" s="29">
        <f t="shared" si="801"/>
        <v>0</v>
      </c>
      <c r="GA46" s="79">
        <f>(GA44*GO44+GA45*GO45)/GO46</f>
        <v>0</v>
      </c>
      <c r="GB46" s="29">
        <f t="shared" ref="GB46:GF46" si="802">SUM(GB44:GB45)</f>
        <v>744</v>
      </c>
      <c r="GC46" s="79">
        <f>(GC44*GO44+GC45*GO45)/GO46</f>
        <v>0.5</v>
      </c>
      <c r="GD46" s="30">
        <f>SUM(GD44:GD45)</f>
        <v>0</v>
      </c>
      <c r="GE46" s="79">
        <f>(GE44*GO44+GE45*GO45)/GO46</f>
        <v>0</v>
      </c>
      <c r="GF46" s="29">
        <f t="shared" si="802"/>
        <v>0</v>
      </c>
      <c r="GG46" s="78">
        <f>(GG44*GO44+GG45*GO45)/GO46</f>
        <v>0.5</v>
      </c>
      <c r="GH46" s="79">
        <f>(GH44*GO44+GH45*GO45)/GO46</f>
        <v>0.5</v>
      </c>
      <c r="GI46" s="79">
        <f>(GI44*GO44+GI45*GO45)/GO46</f>
        <v>0</v>
      </c>
      <c r="GJ46" s="79">
        <f>(GJ44*GO44+GJ45*GO45)/GO46</f>
        <v>0</v>
      </c>
      <c r="GK46" s="81">
        <f>(GK44*GO44+GK45*GO45)/GO46</f>
        <v>7.9877112135176648E-2</v>
      </c>
      <c r="GL46" s="149"/>
      <c r="GM46" s="30">
        <f>SUM(GM44:GM45)</f>
        <v>1488</v>
      </c>
      <c r="GN46" s="33">
        <f>SUM(GN44:GN45)</f>
        <v>2496</v>
      </c>
      <c r="GO46" s="29">
        <f>SUM(GO44:GO45)</f>
        <v>42</v>
      </c>
      <c r="GR46" s="95" t="s">
        <v>39</v>
      </c>
      <c r="GS46" s="48">
        <f>SUM(GS44:GS45)</f>
        <v>720</v>
      </c>
      <c r="GT46" s="48">
        <f t="shared" ref="GT46:GV46" si="803">SUM(GT44:GT45)</f>
        <v>214.3</v>
      </c>
      <c r="GU46" s="48">
        <f>SUM(GU44:GU45)</f>
        <v>505.7</v>
      </c>
      <c r="GV46" s="48">
        <f t="shared" si="803"/>
        <v>0</v>
      </c>
      <c r="GW46" s="118">
        <f>(GW44*HK44+GW45*HK45)/HK46</f>
        <v>0</v>
      </c>
      <c r="GX46" s="48">
        <f t="shared" ref="GX46:HB46" si="804">SUM(GX44:GX45)</f>
        <v>720</v>
      </c>
      <c r="GY46" s="118">
        <f>(GY44*HK44+GY45*HK45)/HK46</f>
        <v>0.5</v>
      </c>
      <c r="GZ46" s="120">
        <f>SUM(GZ44:GZ45)</f>
        <v>0</v>
      </c>
      <c r="HA46" s="116">
        <f>(HA44*HK44+HA45*HK45)/HK46</f>
        <v>0</v>
      </c>
      <c r="HB46" s="48">
        <f t="shared" si="804"/>
        <v>0</v>
      </c>
      <c r="HC46" s="116">
        <f>(HC44*HK44+HC45*HK45)/HK46</f>
        <v>0.4838709677419355</v>
      </c>
      <c r="HD46" s="118">
        <f>(HD44*HK44+HD45*HK45)/HK46</f>
        <v>0.5</v>
      </c>
      <c r="HE46" s="118">
        <f>(HE44*HK44+HE45*HK45)/HK46</f>
        <v>0</v>
      </c>
      <c r="HF46" s="118">
        <f>(HF44*HK44+HF45*HK45)/HK46</f>
        <v>0</v>
      </c>
      <c r="HG46" s="119">
        <f>(HG44*HK44+HG45*HK45)/HK46</f>
        <v>0.10654761904761904</v>
      </c>
      <c r="HH46" s="48">
        <f t="shared" ref="HH46" si="805">SUM(HH44:HH45)</f>
        <v>0</v>
      </c>
      <c r="HI46" s="120">
        <f>SUM(HI44:HI45)</f>
        <v>1440</v>
      </c>
      <c r="HJ46" s="122">
        <f>SUM(HJ44:HJ45)</f>
        <v>3222</v>
      </c>
      <c r="HK46" s="48">
        <f>SUM(HK44:HK45)</f>
        <v>42</v>
      </c>
      <c r="HN46" s="87" t="s">
        <v>39</v>
      </c>
      <c r="HO46" s="29">
        <f>SUM(HO44:HO45)</f>
        <v>744</v>
      </c>
      <c r="HP46" s="29">
        <f t="shared" ref="HP46:HR46" si="806">SUM(HP44:HP45)</f>
        <v>83.1</v>
      </c>
      <c r="HQ46" s="29">
        <f>SUM(HQ44:HQ45)</f>
        <v>660.9</v>
      </c>
      <c r="HR46" s="29">
        <f t="shared" si="806"/>
        <v>0</v>
      </c>
      <c r="HS46" s="79">
        <f>(HS44*IG44+HS45*IG45)/IG46</f>
        <v>0</v>
      </c>
      <c r="HT46" s="29">
        <f t="shared" ref="HT46:HX46" si="807">SUM(HT44:HT45)</f>
        <v>744</v>
      </c>
      <c r="HU46" s="79">
        <f>(HU44*IG44+HU45*IG45)/IG46</f>
        <v>0.5</v>
      </c>
      <c r="HV46" s="30">
        <f>SUM(HV44:HV45)</f>
        <v>0</v>
      </c>
      <c r="HW46" s="78">
        <f>(HW44*IG44+HW45*IG45)/IG46</f>
        <v>0</v>
      </c>
      <c r="HX46" s="29">
        <f t="shared" si="807"/>
        <v>0</v>
      </c>
      <c r="HY46" s="78">
        <f>(HY44*IG44+HY45*IG45)/IG46</f>
        <v>0.5</v>
      </c>
      <c r="HZ46" s="79">
        <f>(HZ44*IG44+HZ45*IG45)/IG46</f>
        <v>0.5</v>
      </c>
      <c r="IA46" s="79">
        <f>(IA44*IG44+IA45*IG45)/IG46</f>
        <v>0</v>
      </c>
      <c r="IB46" s="79">
        <f>(IB44*IG44+IB45*IG45)/IG46</f>
        <v>0</v>
      </c>
      <c r="IC46" s="81">
        <f>(IC44*IG44+IC45*IG45)/IG46</f>
        <v>4.0066564260112646E-2</v>
      </c>
      <c r="ID46" s="29">
        <f t="shared" ref="ID46" si="808">SUM(ID44:ID45)</f>
        <v>0</v>
      </c>
      <c r="IE46" s="30">
        <f>SUM(IE44:IE45)</f>
        <v>1488</v>
      </c>
      <c r="IF46" s="89">
        <f>SUM(IF44:IF45)</f>
        <v>1252</v>
      </c>
      <c r="IG46" s="29">
        <f>SUM(IG44:IG45)</f>
        <v>42</v>
      </c>
      <c r="IJ46" s="87" t="s">
        <v>84</v>
      </c>
      <c r="IK46" s="90">
        <f>SUM(IK44:IK45)</f>
        <v>720</v>
      </c>
      <c r="IL46" s="90">
        <f t="shared" ref="IL46" si="809">SUM(IL44:IL45)</f>
        <v>124.1</v>
      </c>
      <c r="IM46" s="90">
        <f>SUM(IM44:IM45)</f>
        <v>595.9</v>
      </c>
      <c r="IN46" s="90">
        <f t="shared" ref="IN46" si="810">SUM(IN44:IN45)</f>
        <v>0</v>
      </c>
      <c r="IO46" s="78">
        <f>(IO44*JC44+IO45*JC45)/JC46</f>
        <v>0</v>
      </c>
      <c r="IP46" s="29">
        <f>SUM(IP44:IP45)</f>
        <v>720</v>
      </c>
      <c r="IQ46" s="78">
        <f>(IQ44*JC44+IQ45*JC45)/JC46</f>
        <v>0.5</v>
      </c>
      <c r="IR46" s="29">
        <f>SUM(IR44:IR45)</f>
        <v>0</v>
      </c>
      <c r="IS46" s="78">
        <f>(IS44*JC44+IS45*JC45)/JC46</f>
        <v>0</v>
      </c>
      <c r="IT46" s="29">
        <f>SUM(IT44:IT45)</f>
        <v>0</v>
      </c>
      <c r="IU46" s="79">
        <f>(IU44*JC44+IU45*JC45)/JC46</f>
        <v>0.5</v>
      </c>
      <c r="IV46" s="80">
        <f>(IV44*JC44+IV45*JC45)/JC46</f>
        <v>0.5</v>
      </c>
      <c r="IW46" s="80">
        <f>(IW44*JC44+IW45*JC45)/JC46</f>
        <v>0</v>
      </c>
      <c r="IX46" s="80">
        <f>(IX44*JC44+IX45*JC45)/JC46</f>
        <v>0</v>
      </c>
      <c r="IY46" s="80">
        <f>(IY44*JC44+IY45*JC45)/JC46</f>
        <v>6.173941798941799E-2</v>
      </c>
      <c r="IZ46" s="29">
        <f>SUM(IZ44:IZ45)</f>
        <v>0</v>
      </c>
      <c r="JA46" s="33">
        <f>SUM(JA44:JA45)</f>
        <v>1440</v>
      </c>
      <c r="JB46" s="47">
        <f>SUM(JB44:JB45)</f>
        <v>1867</v>
      </c>
      <c r="JC46" s="29">
        <f>SUM(JC44:JC45)</f>
        <v>42</v>
      </c>
    </row>
    <row r="47" spans="1:263" ht="15" x14ac:dyDescent="0.25">
      <c r="A47" s="74" t="s">
        <v>57</v>
      </c>
      <c r="B47" s="37" t="s">
        <v>47</v>
      </c>
      <c r="C47" s="8">
        <v>0</v>
      </c>
      <c r="D47" s="8">
        <v>0</v>
      </c>
      <c r="E47" s="8">
        <v>0</v>
      </c>
      <c r="F47" s="8">
        <v>744</v>
      </c>
      <c r="G47" s="6">
        <f>(F47/$B$4)</f>
        <v>1</v>
      </c>
      <c r="H47" s="8">
        <v>0</v>
      </c>
      <c r="I47" s="6">
        <f>(H47/$B$4)</f>
        <v>0</v>
      </c>
      <c r="J47" s="6">
        <v>0</v>
      </c>
      <c r="K47" s="6">
        <f>(J47/$B$4)</f>
        <v>0</v>
      </c>
      <c r="L47" s="8">
        <v>0</v>
      </c>
      <c r="M47" s="69">
        <f>(C47/$B$4)</f>
        <v>0</v>
      </c>
      <c r="N47" s="69">
        <f>((C47-L47)/$B$4)</f>
        <v>0</v>
      </c>
      <c r="O47" s="69">
        <f>IF((AND(D47=0,F47=0)),0,(F47+L47)/(D47+F47+L47))</f>
        <v>1</v>
      </c>
      <c r="P47" s="149">
        <f>L47/$B$4</f>
        <v>0</v>
      </c>
      <c r="Q47" s="69">
        <f>(T47/($B$4*U47))</f>
        <v>0</v>
      </c>
      <c r="R47" s="15">
        <v>0</v>
      </c>
      <c r="S47" s="6">
        <f>SUM(D47:F47,H47,J47)</f>
        <v>744</v>
      </c>
      <c r="T47" s="8">
        <v>0</v>
      </c>
      <c r="U47" s="8">
        <v>21</v>
      </c>
      <c r="W47" s="74" t="s">
        <v>57</v>
      </c>
      <c r="X47" s="37" t="s">
        <v>47</v>
      </c>
      <c r="Y47" s="8">
        <v>0</v>
      </c>
      <c r="Z47" s="8">
        <v>0</v>
      </c>
      <c r="AA47" s="8">
        <v>0</v>
      </c>
      <c r="AB47" s="8">
        <v>744</v>
      </c>
      <c r="AC47" s="6">
        <f>(AB47/$X$4)</f>
        <v>1</v>
      </c>
      <c r="AD47" s="8">
        <v>0</v>
      </c>
      <c r="AE47" s="6">
        <f>(AD47/$X$4)</f>
        <v>0</v>
      </c>
      <c r="AF47" s="8">
        <v>0</v>
      </c>
      <c r="AG47" s="6">
        <f>(AF47/$X$4)</f>
        <v>0</v>
      </c>
      <c r="AH47" s="8">
        <v>0</v>
      </c>
      <c r="AI47" s="69">
        <f>(Y47/$X$4)</f>
        <v>0</v>
      </c>
      <c r="AJ47" s="69">
        <f>((Y47-AH47)/$X$4)</f>
        <v>0</v>
      </c>
      <c r="AK47" s="69">
        <f>IF((AND(Z47=0,AB47=0)),0,(AB47+AH47)/(Z47+AB47+AH47))</f>
        <v>1</v>
      </c>
      <c r="AL47" s="149">
        <f>AH47/$X$4</f>
        <v>0</v>
      </c>
      <c r="AM47" s="69">
        <f>(AP47/($X$4*AQ47))</f>
        <v>0</v>
      </c>
      <c r="AN47" s="15">
        <v>0</v>
      </c>
      <c r="AO47" s="6">
        <f>SUM(Z47:AB47,AD47,AF47)</f>
        <v>744</v>
      </c>
      <c r="AP47" s="8">
        <v>0</v>
      </c>
      <c r="AQ47" s="8">
        <v>21</v>
      </c>
      <c r="AS47" s="74" t="s">
        <v>57</v>
      </c>
      <c r="AT47" s="37" t="s">
        <v>47</v>
      </c>
      <c r="AU47" s="8">
        <v>0</v>
      </c>
      <c r="AV47" s="8">
        <v>0</v>
      </c>
      <c r="AW47" s="8">
        <v>0</v>
      </c>
      <c r="AX47" s="8">
        <v>720</v>
      </c>
      <c r="AY47" s="8">
        <f>(AX47/$AT$4)</f>
        <v>1</v>
      </c>
      <c r="AZ47" s="8">
        <v>0</v>
      </c>
      <c r="BA47" s="8">
        <f>(AZ47/$AT$4)</f>
        <v>0</v>
      </c>
      <c r="BB47" s="8">
        <v>0</v>
      </c>
      <c r="BC47" s="8">
        <f>(BB47/$AT$4)</f>
        <v>0</v>
      </c>
      <c r="BD47" s="8">
        <v>0</v>
      </c>
      <c r="BE47" s="69">
        <f>(AU47/$AT$4)</f>
        <v>0</v>
      </c>
      <c r="BF47" s="69">
        <f>((AU47-BD47)/$AT$4)</f>
        <v>0</v>
      </c>
      <c r="BG47" s="69">
        <f>IF((AND(AV47=0,AX47=0)),0,(AX47+BD47)/(AV47+AX47+BD47))</f>
        <v>1</v>
      </c>
      <c r="BH47" s="149">
        <f>BD47/$AT$4</f>
        <v>0</v>
      </c>
      <c r="BI47" s="69">
        <f>(BL47/($AT$4*BM47))</f>
        <v>0</v>
      </c>
      <c r="BJ47" s="6"/>
      <c r="BK47" s="6">
        <f>SUM(AV47:AX47,AZ47,BB47)</f>
        <v>720</v>
      </c>
      <c r="BL47" s="8">
        <v>0</v>
      </c>
      <c r="BM47" s="8">
        <v>21</v>
      </c>
      <c r="BO47" s="74" t="s">
        <v>57</v>
      </c>
      <c r="BP47" s="37" t="s">
        <v>47</v>
      </c>
      <c r="BQ47" s="8">
        <v>0</v>
      </c>
      <c r="BR47" s="8">
        <v>0</v>
      </c>
      <c r="BS47" s="8">
        <v>0</v>
      </c>
      <c r="BT47" s="8">
        <v>744</v>
      </c>
      <c r="BU47" s="6">
        <f>(BT47/$BP$4)</f>
        <v>1</v>
      </c>
      <c r="BV47" s="8">
        <v>0</v>
      </c>
      <c r="BW47" s="6">
        <f>(BV47/$BP$4)</f>
        <v>0</v>
      </c>
      <c r="BX47" s="8">
        <v>0</v>
      </c>
      <c r="BY47" s="6">
        <f>(BX47/$BP$4)</f>
        <v>0</v>
      </c>
      <c r="BZ47" s="8">
        <v>0</v>
      </c>
      <c r="CA47" s="69">
        <f>(BQ47/$BP$4)</f>
        <v>0</v>
      </c>
      <c r="CB47" s="69">
        <f>((BQ47-BZ47)/$BP$4)</f>
        <v>0</v>
      </c>
      <c r="CC47" s="149">
        <f>IF((AND(BR47=0,BT47=0)),0,(BT47+BZ47)/(BR47+BT47+BZ47))</f>
        <v>1</v>
      </c>
      <c r="CD47" s="149">
        <f>BZ47/$BP$4</f>
        <v>0</v>
      </c>
      <c r="CE47" s="69">
        <f>(CH47/($BP$4*CI47))</f>
        <v>0</v>
      </c>
      <c r="CF47" s="69"/>
      <c r="CG47" s="42">
        <f>SUM(BR47:BT47,BV47,BX47)</f>
        <v>744</v>
      </c>
      <c r="CH47" s="8">
        <v>0</v>
      </c>
      <c r="CI47" s="8">
        <v>21</v>
      </c>
      <c r="CK47" s="74" t="s">
        <v>57</v>
      </c>
      <c r="CL47" s="37" t="s">
        <v>47</v>
      </c>
      <c r="CM47" s="8">
        <v>0</v>
      </c>
      <c r="CN47" s="8">
        <v>0</v>
      </c>
      <c r="CO47" s="8">
        <v>0</v>
      </c>
      <c r="CP47" s="8">
        <v>720</v>
      </c>
      <c r="CQ47" s="6">
        <f>(CP47/$CL$4)</f>
        <v>1</v>
      </c>
      <c r="CR47" s="8">
        <v>0</v>
      </c>
      <c r="CS47" s="6">
        <f>(CR47/$CL$4)</f>
        <v>0</v>
      </c>
      <c r="CT47" s="8">
        <v>0</v>
      </c>
      <c r="CU47" s="6">
        <f>(CT47/$CL$4)</f>
        <v>0</v>
      </c>
      <c r="CV47" s="8">
        <v>0</v>
      </c>
      <c r="CW47" s="69">
        <f>(CM47/$CL$4)</f>
        <v>0</v>
      </c>
      <c r="CX47" s="69">
        <f>((CM47-CV47)/$CL$4)</f>
        <v>0</v>
      </c>
      <c r="CY47" s="149">
        <f>IF((AND(CN47=0,CP47=0)),0,(CP47+CV47)/(CN47+CP47+CV47))</f>
        <v>1</v>
      </c>
      <c r="CZ47" s="149">
        <f>CV47/$CL$4</f>
        <v>0</v>
      </c>
      <c r="DA47" s="69">
        <f>(DD47/($CL$4*DE47))</f>
        <v>0</v>
      </c>
      <c r="DB47" s="6"/>
      <c r="DC47" s="6">
        <f>SUM(CN47:CP47,CR47,CT47)</f>
        <v>720</v>
      </c>
      <c r="DD47" s="8">
        <v>0</v>
      </c>
      <c r="DE47" s="8">
        <v>21</v>
      </c>
      <c r="DG47" s="74" t="s">
        <v>57</v>
      </c>
      <c r="DH47" s="37" t="s">
        <v>47</v>
      </c>
      <c r="DI47" s="8">
        <v>0</v>
      </c>
      <c r="DJ47" s="8">
        <v>0</v>
      </c>
      <c r="DK47" s="8">
        <v>0</v>
      </c>
      <c r="DL47" s="8">
        <v>744</v>
      </c>
      <c r="DM47" s="69">
        <f>(DL47/$DH$4)</f>
        <v>1</v>
      </c>
      <c r="DN47" s="8">
        <v>0</v>
      </c>
      <c r="DO47" s="69">
        <f t="shared" ref="DO47:DO48" si="811">(DN47/$DH$4)*100</f>
        <v>0</v>
      </c>
      <c r="DP47" s="6">
        <v>0</v>
      </c>
      <c r="DQ47" s="69">
        <f>(DP47/$DH$4)*100</f>
        <v>0</v>
      </c>
      <c r="DR47" s="8">
        <v>0</v>
      </c>
      <c r="DS47" s="69">
        <f>(DI47/$X$4)</f>
        <v>0</v>
      </c>
      <c r="DT47" s="69">
        <f>((DI47-DR47)/$DH$4)</f>
        <v>0</v>
      </c>
      <c r="DU47" s="149">
        <f>IF((AND(DJ47=0,DL47=0)),0,(DL47+DR47)/(DJ47+DL47+DR47))</f>
        <v>1</v>
      </c>
      <c r="DV47" s="149">
        <f>DR47/$DH$4</f>
        <v>0</v>
      </c>
      <c r="DW47" s="69">
        <f>(DZ47/($DH$4*EA47))</f>
        <v>0</v>
      </c>
      <c r="DX47" s="69"/>
      <c r="DY47" s="15">
        <f>SUM(DJ47:DL47,DN47,DP47)</f>
        <v>744</v>
      </c>
      <c r="DZ47" s="8">
        <v>0</v>
      </c>
      <c r="EA47" s="8">
        <v>21</v>
      </c>
      <c r="EC47" s="74" t="s">
        <v>57</v>
      </c>
      <c r="ED47" s="37" t="s">
        <v>47</v>
      </c>
      <c r="EE47" s="8">
        <v>0</v>
      </c>
      <c r="EF47" s="8">
        <v>0</v>
      </c>
      <c r="EG47" s="8">
        <v>0</v>
      </c>
      <c r="EH47" s="8">
        <v>744</v>
      </c>
      <c r="EI47" s="6">
        <f>(EH47/$ED$4)</f>
        <v>1</v>
      </c>
      <c r="EJ47" s="8">
        <v>0</v>
      </c>
      <c r="EK47" s="6">
        <f>(EJ47/$ED$4)</f>
        <v>0</v>
      </c>
      <c r="EL47" s="6">
        <v>0</v>
      </c>
      <c r="EM47" s="6">
        <f>(EL47/$ED$4)</f>
        <v>0</v>
      </c>
      <c r="EN47" s="8">
        <v>0</v>
      </c>
      <c r="EO47" s="69">
        <f>(EE47/$X$4)</f>
        <v>0</v>
      </c>
      <c r="EP47" s="69">
        <f>((EE47-EN47)/$ED$4)</f>
        <v>0</v>
      </c>
      <c r="EQ47" s="149">
        <f>IF((AND(EF47=0,EH47=0)),0,(EH47+EN47)/(EF47+EH47+EN47))</f>
        <v>1</v>
      </c>
      <c r="ER47" s="149"/>
      <c r="ES47" s="69">
        <f>(EV47/($ED$4*EW47))*100</f>
        <v>0</v>
      </c>
      <c r="ET47" s="6"/>
      <c r="EU47" s="6">
        <f>SUM(EF47:EH47,EJ47,EL47)</f>
        <v>744</v>
      </c>
      <c r="EV47" s="8">
        <v>0</v>
      </c>
      <c r="EW47" s="8">
        <v>21</v>
      </c>
      <c r="EY47" s="74" t="s">
        <v>57</v>
      </c>
      <c r="EZ47" s="37" t="s">
        <v>47</v>
      </c>
      <c r="FA47" s="8">
        <v>0</v>
      </c>
      <c r="FB47" s="8">
        <v>0</v>
      </c>
      <c r="FC47" s="8">
        <v>0</v>
      </c>
      <c r="FD47" s="8">
        <v>672</v>
      </c>
      <c r="FE47" s="6">
        <f>(FD47/$EZ$4)</f>
        <v>1</v>
      </c>
      <c r="FF47" s="8">
        <v>0</v>
      </c>
      <c r="FG47" s="6">
        <f>(FF47/$EZ$4)</f>
        <v>0</v>
      </c>
      <c r="FH47" s="6">
        <v>0</v>
      </c>
      <c r="FI47" s="6">
        <f>(FH47/$EZ$4)</f>
        <v>0</v>
      </c>
      <c r="FJ47" s="8">
        <v>0</v>
      </c>
      <c r="FK47" s="69">
        <f>(FA47/$X$4)</f>
        <v>0</v>
      </c>
      <c r="FL47" s="69">
        <f>((FA47-FJ47)/$EZ$4)</f>
        <v>0</v>
      </c>
      <c r="FM47" s="149">
        <f>IF((AND(FB47=0,FD47=0)),0,(FD47+FJ47)/(FB47+FD47+FJ47))</f>
        <v>1</v>
      </c>
      <c r="FN47" s="149">
        <f>FJ47/$EZ$4</f>
        <v>0</v>
      </c>
      <c r="FO47" s="69">
        <f>(FR47/($EZ$4*FS47))</f>
        <v>0</v>
      </c>
      <c r="FP47" s="6"/>
      <c r="FQ47" s="6">
        <f>SUM(FB47:FD47,FF47,FH47)</f>
        <v>672</v>
      </c>
      <c r="FR47" s="8">
        <v>0</v>
      </c>
      <c r="FS47" s="8">
        <v>21</v>
      </c>
      <c r="FU47" s="74" t="s">
        <v>57</v>
      </c>
      <c r="FV47" s="37" t="s">
        <v>47</v>
      </c>
      <c r="FW47" s="8">
        <v>0</v>
      </c>
      <c r="FX47" s="8">
        <v>0</v>
      </c>
      <c r="FY47" s="8">
        <v>0</v>
      </c>
      <c r="FZ47" s="8">
        <v>744</v>
      </c>
      <c r="GA47" s="69">
        <f>(FZ47/$FV$4)</f>
        <v>1</v>
      </c>
      <c r="GB47" s="8">
        <v>0</v>
      </c>
      <c r="GC47" s="69">
        <f>(GB47/$FV$4)</f>
        <v>0</v>
      </c>
      <c r="GD47" s="6">
        <v>0</v>
      </c>
      <c r="GE47" s="6">
        <f>(GD47/$FV$4)</f>
        <v>0</v>
      </c>
      <c r="GF47" s="8">
        <v>0</v>
      </c>
      <c r="GG47" s="69">
        <f>(FW47/$X$4)</f>
        <v>0</v>
      </c>
      <c r="GH47" s="69">
        <f>((FW47-GF47)/$FV$4)</f>
        <v>0</v>
      </c>
      <c r="GI47" s="149">
        <f>IF((AND(FX47=0,FZ47=0)),0,(FZ47+GF47)/(FX47+FZ47+GF47))</f>
        <v>1</v>
      </c>
      <c r="GJ47" s="149">
        <f>GF47/$FV$4</f>
        <v>0</v>
      </c>
      <c r="GK47" s="69">
        <f>(GN47/($FV$4*GO47))</f>
        <v>0</v>
      </c>
      <c r="GL47" s="69"/>
      <c r="GM47" s="6">
        <f>SUM(FX47:FZ47,GB47,GD47)</f>
        <v>744</v>
      </c>
      <c r="GN47" s="8">
        <v>0</v>
      </c>
      <c r="GO47" s="8">
        <v>21</v>
      </c>
      <c r="GQ47" s="74" t="s">
        <v>57</v>
      </c>
      <c r="GR47" s="37" t="s">
        <v>47</v>
      </c>
      <c r="GS47" s="8">
        <v>0</v>
      </c>
      <c r="GT47" s="8">
        <v>0</v>
      </c>
      <c r="GU47" s="8">
        <v>0</v>
      </c>
      <c r="GV47" s="8">
        <v>720</v>
      </c>
      <c r="GW47" s="6">
        <f>(GV47/$GR$4)</f>
        <v>1</v>
      </c>
      <c r="GX47" s="8">
        <v>0</v>
      </c>
      <c r="GY47" s="8">
        <f>(GX47/$GR$4)</f>
        <v>0</v>
      </c>
      <c r="GZ47" s="8">
        <v>0</v>
      </c>
      <c r="HA47" s="6">
        <f>(GZ47/$GR$4)</f>
        <v>0</v>
      </c>
      <c r="HB47" s="8">
        <v>0</v>
      </c>
      <c r="HC47" s="69">
        <f>(GS47/$X$4)</f>
        <v>0</v>
      </c>
      <c r="HD47" s="69">
        <f>((GS47-HB47)/$GR$4)</f>
        <v>0</v>
      </c>
      <c r="HE47" s="149">
        <f>IF((AND(GT47=0,GV47=0)),0,(GV47+HB47)/(GT47+GV47+HB47))</f>
        <v>1</v>
      </c>
      <c r="HF47" s="149">
        <f>HB47/$GR$4</f>
        <v>0</v>
      </c>
      <c r="HG47" s="69">
        <f>(HJ47/($GR$4*HK47))</f>
        <v>0</v>
      </c>
      <c r="HH47" s="15">
        <v>0</v>
      </c>
      <c r="HI47" s="6">
        <f>SUM(GT47:GV47,GX47,GZ47)</f>
        <v>720</v>
      </c>
      <c r="HJ47" s="8">
        <v>0</v>
      </c>
      <c r="HK47" s="8">
        <v>21</v>
      </c>
      <c r="HM47" s="74" t="s">
        <v>57</v>
      </c>
      <c r="HN47" s="37" t="s">
        <v>47</v>
      </c>
      <c r="HO47" s="8">
        <v>0</v>
      </c>
      <c r="HP47" s="8">
        <v>0</v>
      </c>
      <c r="HQ47" s="8">
        <v>0</v>
      </c>
      <c r="HR47" s="8">
        <v>744</v>
      </c>
      <c r="HS47" s="6">
        <f>(HR47/$HN$4)</f>
        <v>1</v>
      </c>
      <c r="HT47" s="8">
        <v>0</v>
      </c>
      <c r="HU47" s="6">
        <f>(HT47/$HN$4)</f>
        <v>0</v>
      </c>
      <c r="HV47" s="8">
        <v>0</v>
      </c>
      <c r="HW47" s="6">
        <f>(HV47/$HN$4)</f>
        <v>0</v>
      </c>
      <c r="HX47" s="8">
        <v>0</v>
      </c>
      <c r="HY47" s="69">
        <f>(HO47/$HN$4)</f>
        <v>0</v>
      </c>
      <c r="HZ47" s="69">
        <f>((HO47-HX47)/$HN$4)</f>
        <v>0</v>
      </c>
      <c r="IA47" s="69">
        <f>IF((AND(HP47=0,HR47=0)),0,(HR47+HX47)/(HP47+HR47))</f>
        <v>1</v>
      </c>
      <c r="IB47" s="149">
        <f>HX47/$HN$4</f>
        <v>0</v>
      </c>
      <c r="IC47" s="69">
        <f>(IF47/($HN$4*IG47))</f>
        <v>0</v>
      </c>
      <c r="ID47" s="15">
        <v>0</v>
      </c>
      <c r="IE47" s="6">
        <f>SUM(HP47:HR47,HT47,HV47)</f>
        <v>744</v>
      </c>
      <c r="IF47" s="8">
        <v>0</v>
      </c>
      <c r="IG47" s="8">
        <v>21</v>
      </c>
      <c r="II47" s="74" t="s">
        <v>57</v>
      </c>
      <c r="IJ47" s="37" t="s">
        <v>47</v>
      </c>
      <c r="IK47" s="8">
        <v>0</v>
      </c>
      <c r="IL47" s="8">
        <v>0</v>
      </c>
      <c r="IM47" s="8">
        <v>0</v>
      </c>
      <c r="IN47" s="8">
        <v>720</v>
      </c>
      <c r="IO47" s="69">
        <f>(IN47/$IJ$4)</f>
        <v>1</v>
      </c>
      <c r="IP47" s="8">
        <v>0</v>
      </c>
      <c r="IQ47" s="69">
        <f>(IP47/$IJ$4)</f>
        <v>0</v>
      </c>
      <c r="IR47" s="8">
        <v>0</v>
      </c>
      <c r="IS47" s="69">
        <f>(IR47/$IJ$4)</f>
        <v>0</v>
      </c>
      <c r="IT47" s="8">
        <v>0</v>
      </c>
      <c r="IU47" s="69">
        <f>(IK47/$IJ$4)</f>
        <v>0</v>
      </c>
      <c r="IV47" s="164">
        <f>((IK47-IT47)/$IJ$4)</f>
        <v>0</v>
      </c>
      <c r="IW47" s="164">
        <f>IF((AND(IL47=0,IN47=0)),0,(IN47+IT47)/(IL47+IN47+IT47))</f>
        <v>1</v>
      </c>
      <c r="IX47" s="149">
        <f>IT47/$IJ$4</f>
        <v>0</v>
      </c>
      <c r="IY47" s="69">
        <f>(JB47/($IJ$4*JC47))</f>
        <v>0</v>
      </c>
      <c r="IZ47" s="15">
        <v>0</v>
      </c>
      <c r="JA47" s="15">
        <f>SUM(IL47:IN47,IP47,IR47)</f>
        <v>720</v>
      </c>
      <c r="JB47" s="8">
        <v>0</v>
      </c>
      <c r="JC47" s="8">
        <v>21</v>
      </c>
    </row>
    <row r="48" spans="1:263" ht="14.25" x14ac:dyDescent="0.25">
      <c r="B48" s="37" t="s">
        <v>48</v>
      </c>
      <c r="C48" s="8">
        <v>744</v>
      </c>
      <c r="D48" s="8">
        <v>39.799999999999997</v>
      </c>
      <c r="E48" s="8">
        <v>704.2</v>
      </c>
      <c r="F48" s="8">
        <v>0</v>
      </c>
      <c r="G48" s="6">
        <f>(F48/$B$4)</f>
        <v>0</v>
      </c>
      <c r="H48" s="8">
        <v>0</v>
      </c>
      <c r="I48" s="6">
        <f>(H48/$B$4)</f>
        <v>0</v>
      </c>
      <c r="J48" s="6">
        <v>0</v>
      </c>
      <c r="K48" s="6">
        <f>(J48/$B$4)</f>
        <v>0</v>
      </c>
      <c r="L48" s="8">
        <v>0</v>
      </c>
      <c r="M48" s="69">
        <f>(C48/$B$4)</f>
        <v>1</v>
      </c>
      <c r="N48" s="69">
        <f>((C48-L48)/$B$4)</f>
        <v>1</v>
      </c>
      <c r="O48" s="69">
        <f>IF((AND(D48=0,F48=0)),0,(F48+L48)/(D48+F48+L48))</f>
        <v>0</v>
      </c>
      <c r="P48" s="149">
        <f>L48/$B$4</f>
        <v>0</v>
      </c>
      <c r="Q48" s="69">
        <f>(T48/($B$4*U48))</f>
        <v>4.8387096774193547E-2</v>
      </c>
      <c r="R48" s="15">
        <v>0</v>
      </c>
      <c r="S48" s="6">
        <f t="shared" ref="S48" si="812">SUM(D48:F48,H48,J48)</f>
        <v>744</v>
      </c>
      <c r="T48" s="8">
        <v>756</v>
      </c>
      <c r="U48" s="8">
        <v>21</v>
      </c>
      <c r="X48" s="37" t="s">
        <v>48</v>
      </c>
      <c r="Y48" s="8">
        <v>744</v>
      </c>
      <c r="Z48" s="8">
        <v>158.6</v>
      </c>
      <c r="AA48" s="8">
        <v>585.4</v>
      </c>
      <c r="AB48" s="8">
        <v>0</v>
      </c>
      <c r="AC48" s="6">
        <f>(AB48/$X$4)</f>
        <v>0</v>
      </c>
      <c r="AD48" s="8">
        <v>0</v>
      </c>
      <c r="AE48" s="6">
        <f>(AD48/$X$4)</f>
        <v>0</v>
      </c>
      <c r="AF48" s="8">
        <v>0</v>
      </c>
      <c r="AG48" s="6">
        <f>(AF48/$X$4)</f>
        <v>0</v>
      </c>
      <c r="AH48" s="8">
        <v>0</v>
      </c>
      <c r="AI48" s="69">
        <f>(Y48/$X$4)</f>
        <v>1</v>
      </c>
      <c r="AJ48" s="69">
        <f>((Y48-AH48)/$X$4)</f>
        <v>1</v>
      </c>
      <c r="AK48" s="69">
        <f>IF((AND(Z48=0,AB48=0)),0,(AB48+AH48)/(Z48+AB48+AH48))</f>
        <v>0</v>
      </c>
      <c r="AL48" s="149">
        <f>AH48/$X$4</f>
        <v>0</v>
      </c>
      <c r="AM48" s="69">
        <f>(AP48/($X$4*AQ48))</f>
        <v>0.19700460829493088</v>
      </c>
      <c r="AN48" s="15">
        <v>0</v>
      </c>
      <c r="AO48" s="6">
        <f t="shared" ref="AO48" si="813">SUM(Z48:AB48,AD48,AF48)</f>
        <v>744</v>
      </c>
      <c r="AP48" s="19">
        <v>3078</v>
      </c>
      <c r="AQ48" s="8">
        <v>21</v>
      </c>
      <c r="AT48" s="37" t="s">
        <v>48</v>
      </c>
      <c r="AU48" s="8">
        <v>720</v>
      </c>
      <c r="AV48" s="8">
        <v>162.30000000000001</v>
      </c>
      <c r="AW48" s="8">
        <v>557.70000000000005</v>
      </c>
      <c r="AX48" s="8">
        <v>0</v>
      </c>
      <c r="AY48" s="6">
        <f>(AX48/$AT$4)</f>
        <v>0</v>
      </c>
      <c r="AZ48" s="8">
        <v>0</v>
      </c>
      <c r="BA48" s="6">
        <f>(AZ48/$AT$4)</f>
        <v>0</v>
      </c>
      <c r="BB48" s="8">
        <v>0</v>
      </c>
      <c r="BC48" s="6">
        <f>(BB48/$AT$4)</f>
        <v>0</v>
      </c>
      <c r="BD48" s="8">
        <v>0</v>
      </c>
      <c r="BE48" s="69">
        <f t="shared" ref="BE48" si="814">(AU48/$AT$4)</f>
        <v>1</v>
      </c>
      <c r="BF48" s="69">
        <f t="shared" ref="BF48" si="815">((AU48-BD48)/$AT$4)</f>
        <v>1</v>
      </c>
      <c r="BG48" s="69">
        <f t="shared" ref="BG48" si="816">IF((AND(AV48=0,AX48=0)),0,(AX48+BD48)/(AV48+AX48+BD48))</f>
        <v>0</v>
      </c>
      <c r="BH48" s="149">
        <f t="shared" ref="BH48" si="817">BD48/$AT$4</f>
        <v>0</v>
      </c>
      <c r="BI48" s="69">
        <f t="shared" ref="BI48" si="818">(BL48/($AT$4*BM48))</f>
        <v>0.20681216931216931</v>
      </c>
      <c r="BJ48" s="6"/>
      <c r="BK48" s="6">
        <f t="shared" ref="BK48" si="819">SUM(AV48:AX48,AZ48,BB48)</f>
        <v>720</v>
      </c>
      <c r="BL48" s="8">
        <v>3127</v>
      </c>
      <c r="BM48" s="8">
        <v>21</v>
      </c>
      <c r="BP48" s="37" t="s">
        <v>48</v>
      </c>
      <c r="BQ48" s="8">
        <v>744</v>
      </c>
      <c r="BR48" s="8">
        <v>136.6</v>
      </c>
      <c r="BS48" s="8">
        <v>607.4</v>
      </c>
      <c r="BT48" s="8">
        <v>0</v>
      </c>
      <c r="BU48" s="6">
        <f t="shared" ref="BU48:BW48" si="820">(BT48/$BP$4)</f>
        <v>0</v>
      </c>
      <c r="BV48" s="8">
        <v>0</v>
      </c>
      <c r="BW48" s="6">
        <f t="shared" si="820"/>
        <v>0</v>
      </c>
      <c r="BX48" s="8">
        <v>0</v>
      </c>
      <c r="BY48" s="6">
        <f t="shared" ref="BY48" si="821">(BX48/$BP$4)</f>
        <v>0</v>
      </c>
      <c r="BZ48" s="8">
        <v>0</v>
      </c>
      <c r="CA48" s="69">
        <f t="shared" ref="CA48" si="822">(BQ48/$BP$4)</f>
        <v>1</v>
      </c>
      <c r="CB48" s="69">
        <f t="shared" ref="CB48" si="823">((BQ48-BZ48)/$BP$4)</f>
        <v>1</v>
      </c>
      <c r="CC48" s="149">
        <f t="shared" ref="CC48" si="824">IF((AND(BR48=0,BT48=0)),0,(BT48+BZ48)/(BR48+BT48+BZ48))</f>
        <v>0</v>
      </c>
      <c r="CD48" s="149">
        <f t="shared" ref="CD48" si="825">BZ48/$BP$4</f>
        <v>0</v>
      </c>
      <c r="CE48" s="69">
        <f t="shared" ref="CE48" si="826">(CH48/($BP$4*CI48))</f>
        <v>0.168394777265745</v>
      </c>
      <c r="CF48" s="69"/>
      <c r="CG48" s="42">
        <f t="shared" ref="CG48" si="827">SUM(BR48:BT48,BV48,BX48)</f>
        <v>744</v>
      </c>
      <c r="CH48" s="19">
        <v>2631</v>
      </c>
      <c r="CI48" s="8">
        <v>21</v>
      </c>
      <c r="CL48" s="37" t="s">
        <v>48</v>
      </c>
      <c r="CM48" s="8">
        <v>720</v>
      </c>
      <c r="CN48" s="8">
        <v>20.100000000000001</v>
      </c>
      <c r="CO48" s="8">
        <v>699.9</v>
      </c>
      <c r="CP48" s="8">
        <v>0</v>
      </c>
      <c r="CQ48" s="6">
        <f t="shared" ref="CQ48:CS48" si="828">(CP48/$CL$4)</f>
        <v>0</v>
      </c>
      <c r="CR48" s="8">
        <v>0</v>
      </c>
      <c r="CS48" s="6">
        <f t="shared" si="828"/>
        <v>0</v>
      </c>
      <c r="CT48" s="8">
        <v>0</v>
      </c>
      <c r="CU48" s="6">
        <f t="shared" ref="CU48" si="829">(CT48/$CL$4)</f>
        <v>0</v>
      </c>
      <c r="CV48" s="8">
        <v>0</v>
      </c>
      <c r="CW48" s="69">
        <f t="shared" ref="CW48" si="830">(CM48/$CL$4)</f>
        <v>1</v>
      </c>
      <c r="CX48" s="69">
        <f t="shared" ref="CX48" si="831">((CM48-CV48)/$CL$4)</f>
        <v>1</v>
      </c>
      <c r="CY48" s="149">
        <f t="shared" ref="CY48" si="832">IF((AND(CN48=0,CP48=0)),0,(CP48+CV48)/(CN48+CP48+CV48))</f>
        <v>0</v>
      </c>
      <c r="CZ48" s="149">
        <f t="shared" ref="CZ48" si="833">CV48/$CL$4</f>
        <v>0</v>
      </c>
      <c r="DA48" s="69">
        <f t="shared" ref="DA48" si="834">(DD48/($CL$4*DE48))</f>
        <v>2.5595238095238095E-2</v>
      </c>
      <c r="DB48" s="6"/>
      <c r="DC48" s="6">
        <f t="shared" ref="DC48" si="835">SUM(CN48:CP48,CR48,CT48)</f>
        <v>720</v>
      </c>
      <c r="DD48" s="8">
        <v>387</v>
      </c>
      <c r="DE48" s="8">
        <v>21</v>
      </c>
      <c r="DH48" s="37" t="s">
        <v>48</v>
      </c>
      <c r="DI48" s="8">
        <v>744</v>
      </c>
      <c r="DJ48" s="8">
        <v>36.5</v>
      </c>
      <c r="DK48" s="8">
        <v>707.5</v>
      </c>
      <c r="DL48" s="8">
        <v>0</v>
      </c>
      <c r="DM48" s="69">
        <f>(DL48/$DH$4)</f>
        <v>0</v>
      </c>
      <c r="DN48" s="8">
        <v>0</v>
      </c>
      <c r="DO48" s="69">
        <f t="shared" si="811"/>
        <v>0</v>
      </c>
      <c r="DP48" s="6">
        <v>0</v>
      </c>
      <c r="DQ48" s="69">
        <f t="shared" ref="DQ48" si="836">(DP48/$DH$4)*100</f>
        <v>0</v>
      </c>
      <c r="DR48" s="8">
        <v>0</v>
      </c>
      <c r="DS48" s="69">
        <f t="shared" ref="DS48" si="837">(DI48/$X$4)</f>
        <v>1</v>
      </c>
      <c r="DT48" s="69">
        <f t="shared" ref="DT48" si="838">((DI48-DR48)/$DH$4)</f>
        <v>1</v>
      </c>
      <c r="DU48" s="149">
        <f t="shared" ref="DU48" si="839">IF((AND(DJ48=0,DL48=0)),0,(DL48+DR48)/(DJ48+DL48+DR48))</f>
        <v>0</v>
      </c>
      <c r="DV48" s="149">
        <f t="shared" ref="DV48" si="840">DR48/$DH$4</f>
        <v>0</v>
      </c>
      <c r="DW48" s="69">
        <f t="shared" ref="DW48" si="841">(DZ48/($DH$4*EA48))</f>
        <v>5.2099334357398872E-2</v>
      </c>
      <c r="DX48" s="69"/>
      <c r="DY48" s="15">
        <f t="shared" ref="DY48" si="842">SUM(DJ48:DL48,DN48,DP48)</f>
        <v>744</v>
      </c>
      <c r="DZ48" s="8">
        <v>814</v>
      </c>
      <c r="EA48" s="8">
        <v>21</v>
      </c>
      <c r="ED48" s="37" t="s">
        <v>48</v>
      </c>
      <c r="EE48" s="8">
        <v>744</v>
      </c>
      <c r="EF48" s="8">
        <v>92</v>
      </c>
      <c r="EG48" s="8">
        <v>652</v>
      </c>
      <c r="EH48" s="8">
        <v>0</v>
      </c>
      <c r="EI48" s="6">
        <f>(EH48/$ED$4)</f>
        <v>0</v>
      </c>
      <c r="EJ48" s="8">
        <v>0</v>
      </c>
      <c r="EK48" s="6">
        <f>(EJ48/$ED$4)</f>
        <v>0</v>
      </c>
      <c r="EL48" s="6">
        <v>0</v>
      </c>
      <c r="EM48" s="6">
        <f>(EL48/$ED$4)</f>
        <v>0</v>
      </c>
      <c r="EN48" s="8">
        <v>0</v>
      </c>
      <c r="EO48" s="69">
        <f>(EE48/$X$4)</f>
        <v>1</v>
      </c>
      <c r="EP48" s="69">
        <f>((EE48-EN48)/$ED$4)</f>
        <v>1</v>
      </c>
      <c r="EQ48" s="149">
        <f t="shared" ref="EQ48" si="843">IF((AND(EF48=0,EH48=0)),0,(EH48+EN48)/(EF48+EH48+EN48))</f>
        <v>0</v>
      </c>
      <c r="ER48" s="149"/>
      <c r="ES48" s="69">
        <f t="shared" ref="ES48" si="844">(EV48/($ED$4*EW48))*100</f>
        <v>11.603942652329749</v>
      </c>
      <c r="ET48" s="6"/>
      <c r="EU48" s="6">
        <f t="shared" ref="EU48" si="845">SUM(EF48:EH48,EJ48,EL48)</f>
        <v>744</v>
      </c>
      <c r="EV48" s="19">
        <v>1813</v>
      </c>
      <c r="EW48" s="8">
        <v>21</v>
      </c>
      <c r="EZ48" s="37" t="s">
        <v>48</v>
      </c>
      <c r="FA48" s="8">
        <v>672</v>
      </c>
      <c r="FB48" s="8">
        <v>66.400000000000006</v>
      </c>
      <c r="FC48" s="8">
        <v>605.6</v>
      </c>
      <c r="FD48" s="8">
        <v>0</v>
      </c>
      <c r="FE48" s="6">
        <f>(FD48/$EZ$4)</f>
        <v>0</v>
      </c>
      <c r="FF48" s="8">
        <v>0</v>
      </c>
      <c r="FG48" s="6">
        <f>(FF48/$EZ$4)</f>
        <v>0</v>
      </c>
      <c r="FH48" s="6">
        <v>0</v>
      </c>
      <c r="FI48" s="6">
        <f>(FH48/$EZ$4)</f>
        <v>0</v>
      </c>
      <c r="FJ48" s="8">
        <v>0</v>
      </c>
      <c r="FK48" s="69">
        <f>(FA48/$X$4)</f>
        <v>0.90322580645161288</v>
      </c>
      <c r="FL48" s="69">
        <f>((FA48-FJ48)/$EZ$4)</f>
        <v>1</v>
      </c>
      <c r="FM48" s="149">
        <f>IF((AND(FB48=0,FD48=0)),0,(FD48+FJ48)/(FB48+FD48+FJ48))</f>
        <v>0</v>
      </c>
      <c r="FN48" s="149">
        <f>FJ48/$EZ$4</f>
        <v>0</v>
      </c>
      <c r="FO48" s="69">
        <f>(FR48/($EZ$4*FS48))</f>
        <v>9.2616213151927432E-2</v>
      </c>
      <c r="FP48" s="6"/>
      <c r="FQ48" s="6">
        <f t="shared" ref="FQ48" si="846">SUM(FB48:FD48,FF48,FH48)</f>
        <v>672</v>
      </c>
      <c r="FR48" s="19">
        <v>1307</v>
      </c>
      <c r="FS48" s="8">
        <v>21</v>
      </c>
      <c r="FV48" s="37" t="s">
        <v>48</v>
      </c>
      <c r="FW48" s="8">
        <v>744</v>
      </c>
      <c r="FX48" s="8">
        <v>184.8</v>
      </c>
      <c r="FY48" s="8">
        <v>559.20000000000005</v>
      </c>
      <c r="FZ48" s="8">
        <v>0</v>
      </c>
      <c r="GA48" s="69">
        <f>(FZ48/$FV$4)</f>
        <v>0</v>
      </c>
      <c r="GB48" s="8">
        <v>0</v>
      </c>
      <c r="GC48" s="69">
        <f>(GB48/$FV$4)</f>
        <v>0</v>
      </c>
      <c r="GD48" s="6">
        <v>0</v>
      </c>
      <c r="GE48" s="6">
        <f>(GD48/$FV$4)</f>
        <v>0</v>
      </c>
      <c r="GF48" s="8">
        <v>0</v>
      </c>
      <c r="GG48" s="69">
        <f>(FW48/$X$4)</f>
        <v>1</v>
      </c>
      <c r="GH48" s="69">
        <f>((FW48-GF48)/$FV$4)</f>
        <v>1</v>
      </c>
      <c r="GI48" s="149">
        <f>IF((AND(FX48=0,FZ48=0)),0,(FZ48+GF48)/(FX48+FZ48+GF48))</f>
        <v>0</v>
      </c>
      <c r="GJ48" s="149">
        <f>GF48/$FV$4</f>
        <v>0</v>
      </c>
      <c r="GK48" s="69">
        <f>(GN48/($FV$4*GO48))</f>
        <v>0.23175883256528418</v>
      </c>
      <c r="GL48" s="69"/>
      <c r="GM48" s="6">
        <f t="shared" ref="GM48" si="847">SUM(FX48:FZ48,GB48,GD48)</f>
        <v>744</v>
      </c>
      <c r="GN48" s="19">
        <v>3621</v>
      </c>
      <c r="GO48" s="8">
        <v>21</v>
      </c>
      <c r="GR48" s="37" t="s">
        <v>48</v>
      </c>
      <c r="GS48" s="8">
        <v>720</v>
      </c>
      <c r="GT48" s="8">
        <v>268.3</v>
      </c>
      <c r="GU48" s="8">
        <v>451.7</v>
      </c>
      <c r="GV48" s="8">
        <v>0</v>
      </c>
      <c r="GW48" s="6">
        <f>(GV48/$GR$4)</f>
        <v>0</v>
      </c>
      <c r="GX48" s="8">
        <v>0</v>
      </c>
      <c r="GY48" s="8">
        <f>(GX48/$GR$4)</f>
        <v>0</v>
      </c>
      <c r="GZ48" s="8">
        <v>0</v>
      </c>
      <c r="HA48" s="6">
        <f>(GZ48/$GR$4)</f>
        <v>0</v>
      </c>
      <c r="HB48" s="8">
        <v>0</v>
      </c>
      <c r="HC48" s="69">
        <f>(GS48/$X$4)</f>
        <v>0.967741935483871</v>
      </c>
      <c r="HD48" s="69">
        <f>((GS48-HB48)/$GR$4)</f>
        <v>1</v>
      </c>
      <c r="HE48" s="149">
        <f t="shared" ref="HE48" si="848">IF((AND(GT48=0,GV48=0)),0,(GV48+HB48)/(GT48+GV48+HB48))</f>
        <v>0</v>
      </c>
      <c r="HF48" s="149">
        <f>HB48/$GR$4</f>
        <v>0</v>
      </c>
      <c r="HG48" s="69">
        <f>(HJ48/($GR$4*HK48))</f>
        <v>0.34880952380952379</v>
      </c>
      <c r="HH48" s="15">
        <v>0</v>
      </c>
      <c r="HI48" s="6">
        <f t="shared" ref="HI48" si="849">SUM(GT48:GV48,GX48,GZ48)</f>
        <v>720</v>
      </c>
      <c r="HJ48" s="19">
        <v>5274</v>
      </c>
      <c r="HK48" s="8">
        <v>21</v>
      </c>
      <c r="HN48" s="37" t="s">
        <v>48</v>
      </c>
      <c r="HO48" s="8">
        <v>744</v>
      </c>
      <c r="HP48" s="8">
        <v>104.8</v>
      </c>
      <c r="HQ48" s="8">
        <v>639.20000000000005</v>
      </c>
      <c r="HR48" s="8">
        <v>0</v>
      </c>
      <c r="HS48" s="6">
        <f>(HR48/$HN$4)</f>
        <v>0</v>
      </c>
      <c r="HT48" s="8">
        <v>0</v>
      </c>
      <c r="HU48" s="6">
        <f>(HT48/$HN$4)</f>
        <v>0</v>
      </c>
      <c r="HV48" s="8">
        <v>0</v>
      </c>
      <c r="HW48" s="6">
        <f>(HV48/$HN$4)</f>
        <v>0</v>
      </c>
      <c r="HX48" s="8">
        <v>0</v>
      </c>
      <c r="HY48" s="69">
        <f>(HO48/$HN$4)</f>
        <v>1</v>
      </c>
      <c r="HZ48" s="69">
        <f>((HO48-HX48)/$HN$4)</f>
        <v>1</v>
      </c>
      <c r="IA48" s="69">
        <f>IF((AND(HP48=0,HR48=0)),0,(HR48+HX48)/(HP48+HR48))</f>
        <v>0</v>
      </c>
      <c r="IB48" s="149">
        <f>HX48/$HN$4</f>
        <v>0</v>
      </c>
      <c r="IC48" s="69">
        <f>(IF48/($HN$4*IG48))</f>
        <v>0.12890424987199181</v>
      </c>
      <c r="ID48" s="15">
        <v>0</v>
      </c>
      <c r="IE48" s="6">
        <f t="shared" ref="IE48" si="850">SUM(HP48:HR48,HT48,HV48)</f>
        <v>744</v>
      </c>
      <c r="IF48" s="19">
        <v>2014</v>
      </c>
      <c r="IG48" s="8">
        <v>21</v>
      </c>
      <c r="IJ48" s="37" t="s">
        <v>48</v>
      </c>
      <c r="IK48" s="8">
        <v>720</v>
      </c>
      <c r="IL48" s="8">
        <v>161.9</v>
      </c>
      <c r="IM48" s="8">
        <v>558.1</v>
      </c>
      <c r="IN48" s="8">
        <v>0</v>
      </c>
      <c r="IO48" s="69">
        <f>(IN48/$IJ$4)</f>
        <v>0</v>
      </c>
      <c r="IP48" s="8">
        <v>0</v>
      </c>
      <c r="IQ48" s="69">
        <f>(IP48/$IJ$4)</f>
        <v>0</v>
      </c>
      <c r="IR48" s="8">
        <v>0</v>
      </c>
      <c r="IS48" s="69">
        <f>(IR48/$IJ$4)</f>
        <v>0</v>
      </c>
      <c r="IT48" s="8">
        <v>0</v>
      </c>
      <c r="IU48" s="69">
        <f>(IK48/$IJ$4)</f>
        <v>1</v>
      </c>
      <c r="IV48" s="164">
        <f>((IK48-IT48)/$IJ$4)</f>
        <v>1</v>
      </c>
      <c r="IW48" s="164">
        <f>IF((AND(IL48=0,IN48=0)),0,(IN48+IT48)/(IL48+IN48+IT48))</f>
        <v>0</v>
      </c>
      <c r="IX48" s="149">
        <f t="shared" ref="IX48" si="851">IT48/$IJ$4</f>
        <v>0</v>
      </c>
      <c r="IY48" s="69">
        <f>(JB48/($IJ$4*JC48))</f>
        <v>0.20542328042328042</v>
      </c>
      <c r="IZ48" s="15">
        <v>0</v>
      </c>
      <c r="JA48" s="15">
        <f t="shared" ref="JA48" si="852">SUM(IL48:IN48,IP48,IR48)</f>
        <v>720</v>
      </c>
      <c r="JB48" s="46">
        <v>3106</v>
      </c>
      <c r="JC48" s="8">
        <v>21</v>
      </c>
    </row>
    <row r="49" spans="1:263" ht="15" x14ac:dyDescent="0.25">
      <c r="B49" s="24" t="s">
        <v>39</v>
      </c>
      <c r="C49" s="25">
        <f>SUM(C47:C48)</f>
        <v>744</v>
      </c>
      <c r="D49" s="25">
        <f t="shared" ref="D49:L49" si="853">SUM(D47:D48)</f>
        <v>39.799999999999997</v>
      </c>
      <c r="E49" s="25">
        <f t="shared" si="853"/>
        <v>704.2</v>
      </c>
      <c r="F49" s="25">
        <f t="shared" si="853"/>
        <v>744</v>
      </c>
      <c r="G49" s="78">
        <f>(G47*U47+G48*U48)/U49</f>
        <v>0.5</v>
      </c>
      <c r="H49" s="25">
        <f t="shared" si="853"/>
        <v>0</v>
      </c>
      <c r="I49" s="78">
        <f>(I47*U47+I48*U48)/U49</f>
        <v>0</v>
      </c>
      <c r="J49" s="26">
        <f>SUM(J47:J48)</f>
        <v>0</v>
      </c>
      <c r="K49" s="79">
        <f>(K47*U47+K48*U48)/U49</f>
        <v>0</v>
      </c>
      <c r="L49" s="25">
        <f t="shared" si="853"/>
        <v>0</v>
      </c>
      <c r="M49" s="78">
        <f>(M47*U47+M48*U48)/U49</f>
        <v>0.5</v>
      </c>
      <c r="N49" s="81">
        <f>(N47*U47+N48*U48)/U49</f>
        <v>0.5</v>
      </c>
      <c r="O49" s="81">
        <f>(O47*U47+O48*U48)/U49</f>
        <v>0.5</v>
      </c>
      <c r="P49" s="81">
        <f>(P47*U47+P48*U48)/U49</f>
        <v>0</v>
      </c>
      <c r="Q49" s="81">
        <f>(Q47*U47+Q48*U48)/U49</f>
        <v>2.4193548387096774E-2</v>
      </c>
      <c r="R49" s="29">
        <f t="shared" ref="R49" si="854">SUM(R47:R48)</f>
        <v>0</v>
      </c>
      <c r="S49" s="30">
        <f>SUM(S47:S48)</f>
        <v>1488</v>
      </c>
      <c r="T49" s="40">
        <f>SUM(T47:T48)</f>
        <v>756</v>
      </c>
      <c r="U49" s="25">
        <f>SUM(U47:U48)</f>
        <v>42</v>
      </c>
      <c r="X49" s="32" t="s">
        <v>39</v>
      </c>
      <c r="Y49" s="29">
        <f>SUM(Y47:Y48)</f>
        <v>744</v>
      </c>
      <c r="Z49" s="29">
        <f t="shared" ref="Z49" si="855">SUM(Z47:Z48)</f>
        <v>158.6</v>
      </c>
      <c r="AA49" s="29">
        <f>SUM(AA47:AA48)</f>
        <v>585.4</v>
      </c>
      <c r="AB49" s="29">
        <f t="shared" ref="AB49:AH49" si="856">SUM(AB47:AB48)</f>
        <v>744</v>
      </c>
      <c r="AC49" s="79">
        <f>(AC47*AQ47+AC48*AQ48)/AQ49</f>
        <v>0.5</v>
      </c>
      <c r="AD49" s="29">
        <f t="shared" si="856"/>
        <v>0</v>
      </c>
      <c r="AE49" s="79">
        <f>(AE47*AQ47+AE48*AQ48)/AQ49</f>
        <v>0</v>
      </c>
      <c r="AF49" s="30">
        <f>SUM(AF47:AF48)</f>
        <v>0</v>
      </c>
      <c r="AG49" s="79">
        <f>(AG47*AQ47+AG48*AQ48)/AQ49</f>
        <v>0</v>
      </c>
      <c r="AH49" s="29">
        <f t="shared" si="856"/>
        <v>0</v>
      </c>
      <c r="AI49" s="78">
        <f>(AI47*AQ47+AI48*AQ48)/AQ49</f>
        <v>0.5</v>
      </c>
      <c r="AJ49" s="79">
        <f>(AJ47*AQ47+AJ48*AQ48)/AQ49</f>
        <v>0.5</v>
      </c>
      <c r="AK49" s="79">
        <f>(AK47*AQ47+AK48*AQ48)/AQ49</f>
        <v>0.5</v>
      </c>
      <c r="AL49" s="79"/>
      <c r="AM49" s="81">
        <f>(AM47*AQ47+AM48*AQ48)/AQ49</f>
        <v>9.8502304147465455E-2</v>
      </c>
      <c r="AN49" s="29">
        <f t="shared" ref="AN49" si="857">SUM(AN47:AN48)</f>
        <v>0</v>
      </c>
      <c r="AO49" s="30">
        <f>SUM(AO47:AO48)</f>
        <v>1488</v>
      </c>
      <c r="AP49" s="33">
        <f>SUM(AP47:AP48)</f>
        <v>3078</v>
      </c>
      <c r="AQ49" s="29">
        <f>SUM(AQ47:AQ48)</f>
        <v>42</v>
      </c>
      <c r="AT49" s="32" t="s">
        <v>39</v>
      </c>
      <c r="AU49" s="29">
        <f>SUM(AU47:AU48)</f>
        <v>720</v>
      </c>
      <c r="AV49" s="29">
        <f t="shared" ref="AV49:BD49" si="858">SUM(AV47:AV48)</f>
        <v>162.30000000000001</v>
      </c>
      <c r="AW49" s="29">
        <f>SUM(AW47:AW48)</f>
        <v>557.70000000000005</v>
      </c>
      <c r="AX49" s="29">
        <f t="shared" si="858"/>
        <v>720</v>
      </c>
      <c r="AY49" s="30">
        <f>(AY47*BM47+AY48*BM48)/BM49</f>
        <v>0.5</v>
      </c>
      <c r="AZ49" s="29">
        <f t="shared" si="858"/>
        <v>0</v>
      </c>
      <c r="BA49" s="30">
        <f>(BA47*BM47+BA48*BM48)/BM49</f>
        <v>0</v>
      </c>
      <c r="BB49" s="30">
        <f>SUM(BB47:BB48)</f>
        <v>0</v>
      </c>
      <c r="BC49" s="30">
        <f>(BC47*BM47+BC48*BM48)/BM49</f>
        <v>0</v>
      </c>
      <c r="BD49" s="29">
        <f t="shared" si="858"/>
        <v>0</v>
      </c>
      <c r="BE49" s="78">
        <f>(BE47*BM47+BE48*BM48)/BM49</f>
        <v>0.5</v>
      </c>
      <c r="BF49" s="79">
        <f>(BF47*BM47+BF48*BM48)/BM49</f>
        <v>0.5</v>
      </c>
      <c r="BG49" s="79">
        <f>(BG47*BM47+BG48*BM48)/BM49</f>
        <v>0.5</v>
      </c>
      <c r="BH49" s="79"/>
      <c r="BI49" s="81">
        <f>(BI47*BM47+BI48*BM48)/BM49</f>
        <v>0.10340608465608467</v>
      </c>
      <c r="BJ49" s="149"/>
      <c r="BK49" s="30">
        <f>SUM(BK47:BK48)</f>
        <v>1440</v>
      </c>
      <c r="BL49" s="29">
        <f>SUM(BL47:BL48)</f>
        <v>3127</v>
      </c>
      <c r="BM49" s="29">
        <f>SUM(BM47:BM48)</f>
        <v>42</v>
      </c>
      <c r="BP49" s="32" t="s">
        <v>39</v>
      </c>
      <c r="BQ49" s="29">
        <f>SUM(BQ47:BQ48)</f>
        <v>744</v>
      </c>
      <c r="BR49" s="29">
        <f t="shared" ref="BR49:BZ49" si="859">SUM(BR47:BR48)</f>
        <v>136.6</v>
      </c>
      <c r="BS49" s="29">
        <f>SUM(BS47:BS48)</f>
        <v>607.4</v>
      </c>
      <c r="BT49" s="29">
        <f t="shared" si="859"/>
        <v>744</v>
      </c>
      <c r="BU49" s="79">
        <f>(BU47*CI47+BU48*CI48)/CI49</f>
        <v>0.5</v>
      </c>
      <c r="BV49" s="29">
        <f t="shared" si="859"/>
        <v>0</v>
      </c>
      <c r="BW49" s="79">
        <f>(BW47*CI47+BW48*CI48)/CI49</f>
        <v>0</v>
      </c>
      <c r="BX49" s="30">
        <f>SUM(BX47:BX48)</f>
        <v>0</v>
      </c>
      <c r="BY49" s="79">
        <f>(BY47*CI47+BY48*CI48)/CI49</f>
        <v>0</v>
      </c>
      <c r="BZ49" s="29">
        <f t="shared" si="859"/>
        <v>0</v>
      </c>
      <c r="CA49" s="78">
        <f>(CA47*CI47+CA48*CI48)/CI49</f>
        <v>0.5</v>
      </c>
      <c r="CB49" s="79">
        <f>(CB47*CI47+CB48*CI48)/CI49</f>
        <v>0.5</v>
      </c>
      <c r="CC49" s="79">
        <f>(CC47*CI47+CC48*CI48)/CI49</f>
        <v>0.5</v>
      </c>
      <c r="CD49" s="79"/>
      <c r="CE49" s="81">
        <f>(CE47*CI47+CE48*CI48)/CI49</f>
        <v>8.4197388632872502E-2</v>
      </c>
      <c r="CF49" s="149"/>
      <c r="CG49" s="33">
        <f>SUM(CG47:CG48)</f>
        <v>1488</v>
      </c>
      <c r="CH49" s="34">
        <f>SUM(CH47:CH48)</f>
        <v>2631</v>
      </c>
      <c r="CI49" s="29">
        <f>SUM(CI47:CI48)</f>
        <v>42</v>
      </c>
      <c r="CL49" s="32" t="s">
        <v>39</v>
      </c>
      <c r="CM49" s="29">
        <f>SUM(CM47:CM48)</f>
        <v>720</v>
      </c>
      <c r="CN49" s="29">
        <f t="shared" ref="CN49:CV49" si="860">SUM(CN47:CN48)</f>
        <v>20.100000000000001</v>
      </c>
      <c r="CO49" s="29">
        <f>SUM(CO47:CO48)</f>
        <v>699.9</v>
      </c>
      <c r="CP49" s="29">
        <f t="shared" si="860"/>
        <v>720</v>
      </c>
      <c r="CQ49" s="79">
        <f>(CQ47*DE47+CQ48*DE48)/DE49</f>
        <v>0.5</v>
      </c>
      <c r="CR49" s="29">
        <f t="shared" si="860"/>
        <v>0</v>
      </c>
      <c r="CS49" s="79">
        <f>(CS47*DE47+CS48*DE48)/DE49</f>
        <v>0</v>
      </c>
      <c r="CT49" s="30">
        <f>SUM(CT47:CT48)</f>
        <v>0</v>
      </c>
      <c r="CU49" s="78">
        <f>(CU47*DE47+CU48*DE48)/DE49</f>
        <v>0</v>
      </c>
      <c r="CV49" s="29">
        <f t="shared" si="860"/>
        <v>0</v>
      </c>
      <c r="CW49" s="78">
        <f>(CW47*DE47+CW48*DE48)/DE49</f>
        <v>0.5</v>
      </c>
      <c r="CX49" s="79">
        <f>(CX47*DE47+CX48*DE48)/DE49</f>
        <v>0.5</v>
      </c>
      <c r="CY49" s="79">
        <f>(CY47*DE47+CY48*DE48)/DE49</f>
        <v>0.5</v>
      </c>
      <c r="CZ49" s="79"/>
      <c r="DA49" s="81">
        <f>(DA47*DE47+DA48*DE48)/DE49</f>
        <v>1.2797619047619047E-2</v>
      </c>
      <c r="DB49" s="149"/>
      <c r="DC49" s="30">
        <f>SUM(DC47:DC48)</f>
        <v>1440</v>
      </c>
      <c r="DD49" s="29">
        <f>SUM(DD47:DD48)</f>
        <v>387</v>
      </c>
      <c r="DE49" s="29">
        <f>SUM(DE47:DE48)</f>
        <v>42</v>
      </c>
      <c r="DH49" s="24" t="s">
        <v>39</v>
      </c>
      <c r="DI49" s="29">
        <f>SUM(DI47:DI48)</f>
        <v>744</v>
      </c>
      <c r="DJ49" s="29">
        <f t="shared" ref="DJ49:DR49" si="861">SUM(DJ47:DJ48)</f>
        <v>36.5</v>
      </c>
      <c r="DK49" s="29">
        <f>SUM(DK47:DK48)</f>
        <v>707.5</v>
      </c>
      <c r="DL49" s="29">
        <f t="shared" si="861"/>
        <v>744</v>
      </c>
      <c r="DM49" s="79">
        <f>(DM47*EA47+DM48*EA48)/EA49</f>
        <v>0.5</v>
      </c>
      <c r="DN49" s="29">
        <f t="shared" si="861"/>
        <v>0</v>
      </c>
      <c r="DO49" s="79">
        <f>(DO47*EA47+DO48*EA48)/EA49</f>
        <v>0</v>
      </c>
      <c r="DP49" s="30">
        <f>SUM(DP47:DP48)</f>
        <v>0</v>
      </c>
      <c r="DQ49" s="79">
        <f>(DQ47*EA47+DQ48*EA48)/EA49</f>
        <v>0</v>
      </c>
      <c r="DR49" s="29">
        <f t="shared" si="861"/>
        <v>0</v>
      </c>
      <c r="DS49" s="78">
        <f>(DS47*EA47+DS48*EA48)/EA49</f>
        <v>0.5</v>
      </c>
      <c r="DT49" s="79">
        <f>(DT47*EA47+DT48*EA48)/EA49</f>
        <v>0.5</v>
      </c>
      <c r="DU49" s="79">
        <f>(DU47*EA47+DU48*EA48)/EA49</f>
        <v>0.5</v>
      </c>
      <c r="DV49" s="79">
        <f>(DV47*EA47+DV48*EA48)/EA49</f>
        <v>0</v>
      </c>
      <c r="DW49" s="81">
        <f>(DW47*EA47+DW48*EA48)/EA49</f>
        <v>2.6049667178699436E-2</v>
      </c>
      <c r="DX49" s="149"/>
      <c r="DY49" s="31">
        <f>SUM(DY47:DY48)</f>
        <v>1488</v>
      </c>
      <c r="DZ49" s="29">
        <f>SUM(DZ47:DZ48)</f>
        <v>814</v>
      </c>
      <c r="EA49" s="29">
        <f>SUM(EA47:EA48)</f>
        <v>42</v>
      </c>
      <c r="ED49" s="32" t="s">
        <v>39</v>
      </c>
      <c r="EE49" s="29">
        <f>SUM(EE47:EE48)</f>
        <v>744</v>
      </c>
      <c r="EF49" s="29">
        <f t="shared" ref="EF49:EN49" si="862">SUM(EF47:EF48)</f>
        <v>92</v>
      </c>
      <c r="EG49" s="29">
        <f>SUM(EG47:EG48)</f>
        <v>652</v>
      </c>
      <c r="EH49" s="29">
        <f t="shared" si="862"/>
        <v>744</v>
      </c>
      <c r="EI49" s="79">
        <f>(EI47*EW47+EI48*EW48)/EW49</f>
        <v>0.5</v>
      </c>
      <c r="EJ49" s="29">
        <f t="shared" si="862"/>
        <v>0</v>
      </c>
      <c r="EK49" s="79">
        <f>(EK47*EW47+EK48*EW48)/EW49</f>
        <v>0</v>
      </c>
      <c r="EL49" s="30">
        <f>SUM(EL47:EL48)</f>
        <v>0</v>
      </c>
      <c r="EM49" s="79">
        <f>(EM47*EW47+EM48*EW48)/EW49</f>
        <v>0</v>
      </c>
      <c r="EN49" s="29">
        <f t="shared" si="862"/>
        <v>0</v>
      </c>
      <c r="EO49" s="78">
        <f>(EO47*EW47+EO48*EW48)/EW49</f>
        <v>0.5</v>
      </c>
      <c r="EP49" s="79">
        <f>(EP47*EW47+EP48*EW48)/EW49</f>
        <v>0.5</v>
      </c>
      <c r="EQ49" s="79">
        <f>(EQ47*EW47+EQ48*EW48)/EW49</f>
        <v>0.5</v>
      </c>
      <c r="ER49" s="79"/>
      <c r="ES49" s="81">
        <f>(ES47*EW47+ES48*EW48)/EW49</f>
        <v>5.8019713261648747</v>
      </c>
      <c r="ET49" s="18"/>
      <c r="EU49" s="30">
        <f>SUM(EU47:EU48)</f>
        <v>1488</v>
      </c>
      <c r="EV49" s="34">
        <f>SUM(EV47:EV48)</f>
        <v>1813</v>
      </c>
      <c r="EW49" s="29">
        <f>SUM(EW47:EW48)</f>
        <v>42</v>
      </c>
      <c r="EZ49" s="24" t="s">
        <v>39</v>
      </c>
      <c r="FA49" s="29">
        <f>SUM(FA47:FA48)</f>
        <v>672</v>
      </c>
      <c r="FB49" s="29">
        <f t="shared" ref="FB49:FJ49" si="863">SUM(FB47:FB48)</f>
        <v>66.400000000000006</v>
      </c>
      <c r="FC49" s="29">
        <f>SUM(FC47:FC48)</f>
        <v>605.6</v>
      </c>
      <c r="FD49" s="29">
        <f t="shared" si="863"/>
        <v>672</v>
      </c>
      <c r="FE49" s="79">
        <f>(FE47*FS47+FE48*FS48)/FS49</f>
        <v>0.5</v>
      </c>
      <c r="FF49" s="29">
        <f t="shared" si="863"/>
        <v>0</v>
      </c>
      <c r="FG49" s="79">
        <f>(FG47*FS47+FG48*FS48)/FS49</f>
        <v>0</v>
      </c>
      <c r="FH49" s="30">
        <f>SUM(FH47:FH48)</f>
        <v>0</v>
      </c>
      <c r="FI49" s="79">
        <f>(FI47*FS47+FI48*FS48)/FS49</f>
        <v>0</v>
      </c>
      <c r="FJ49" s="29">
        <f t="shared" si="863"/>
        <v>0</v>
      </c>
      <c r="FK49" s="78">
        <f>(FK47*FS47+FK48*FS48)/FS49</f>
        <v>0.45161290322580649</v>
      </c>
      <c r="FL49" s="79">
        <f>(FL47*FS47+FL48*FS48)/FS49</f>
        <v>0.5</v>
      </c>
      <c r="FM49" s="79">
        <f>(FM47*FS47+FM48*FS48)/FS49</f>
        <v>0.5</v>
      </c>
      <c r="FN49" s="79"/>
      <c r="FO49" s="81">
        <f>(FO47*FS47+FO48*FS48)/FS49</f>
        <v>4.6308106575963716E-2</v>
      </c>
      <c r="FP49" s="149"/>
      <c r="FQ49" s="30">
        <f>SUM(FQ47:FQ48)</f>
        <v>1344</v>
      </c>
      <c r="FR49" s="33">
        <f>SUM(FR47:FR48)</f>
        <v>1307</v>
      </c>
      <c r="FS49" s="29">
        <f>SUM(FS47:FS48)</f>
        <v>42</v>
      </c>
      <c r="FV49" s="24" t="s">
        <v>39</v>
      </c>
      <c r="FW49" s="29">
        <f>SUM(FW47:FW48)</f>
        <v>744</v>
      </c>
      <c r="FX49" s="29">
        <f t="shared" ref="FX49:GF49" si="864">SUM(FX47:FX48)</f>
        <v>184.8</v>
      </c>
      <c r="FY49" s="29">
        <f>SUM(FY47:FY48)</f>
        <v>559.20000000000005</v>
      </c>
      <c r="FZ49" s="29">
        <f t="shared" si="864"/>
        <v>744</v>
      </c>
      <c r="GA49" s="79">
        <f>(GA47*GO47+GA48*GO48)/GO49</f>
        <v>0.5</v>
      </c>
      <c r="GB49" s="29">
        <f t="shared" si="864"/>
        <v>0</v>
      </c>
      <c r="GC49" s="79">
        <f>(GC47*GO47+GC48*GO48)/GO49</f>
        <v>0</v>
      </c>
      <c r="GD49" s="30">
        <f>SUM(GD47:GD48)</f>
        <v>0</v>
      </c>
      <c r="GE49" s="79">
        <f>(GE47*GO47+GE48*GO48)/GO49</f>
        <v>0</v>
      </c>
      <c r="GF49" s="29">
        <f t="shared" si="864"/>
        <v>0</v>
      </c>
      <c r="GG49" s="78">
        <f>(GG47*GO47+GG48*GO48)/GO49</f>
        <v>0.5</v>
      </c>
      <c r="GH49" s="79">
        <f>(GH47*GO47+GH48*GO48)/GO49</f>
        <v>0.5</v>
      </c>
      <c r="GI49" s="79">
        <f>(GI47*GO47+GI48*GO48)/GO49</f>
        <v>0.5</v>
      </c>
      <c r="GJ49" s="79">
        <f>(GJ47*GO47+GJ48*GO48)/GO49</f>
        <v>0</v>
      </c>
      <c r="GK49" s="81">
        <f>(GK47*GO47+GK48*GO48)/GO49</f>
        <v>0.11587941628264209</v>
      </c>
      <c r="GL49" s="149"/>
      <c r="GM49" s="30">
        <f>SUM(GM47:GM48)</f>
        <v>1488</v>
      </c>
      <c r="GN49" s="34">
        <f>SUM(GN47:GN48)</f>
        <v>3621</v>
      </c>
      <c r="GO49" s="29">
        <f>SUM(GO47:GO48)</f>
        <v>42</v>
      </c>
      <c r="GR49" s="24" t="s">
        <v>39</v>
      </c>
      <c r="GS49" s="48">
        <f>SUM(GS47:GS48)</f>
        <v>720</v>
      </c>
      <c r="GT49" s="48">
        <f t="shared" ref="GT49:HB49" si="865">SUM(GT47:GT48)</f>
        <v>268.3</v>
      </c>
      <c r="GU49" s="48">
        <f>SUM(GU47:GU48)</f>
        <v>451.7</v>
      </c>
      <c r="GV49" s="48">
        <f t="shared" si="865"/>
        <v>720</v>
      </c>
      <c r="GW49" s="118">
        <f>(GW47*HK47+GW48*HK48)/HK49</f>
        <v>0.5</v>
      </c>
      <c r="GX49" s="48">
        <f t="shared" si="865"/>
        <v>0</v>
      </c>
      <c r="GY49" s="118">
        <f>(GY47*HK47+GY48*HK48)/HK49</f>
        <v>0</v>
      </c>
      <c r="GZ49" s="120">
        <f>SUM(GZ47:GZ48)</f>
        <v>0</v>
      </c>
      <c r="HA49" s="116">
        <f>(HA47*HK47+HA48*HK48)/HK49</f>
        <v>0</v>
      </c>
      <c r="HB49" s="48">
        <f t="shared" si="865"/>
        <v>0</v>
      </c>
      <c r="HC49" s="116">
        <f>(HC47*HK47+HC48*HK48)/HK49</f>
        <v>0.4838709677419355</v>
      </c>
      <c r="HD49" s="118">
        <f>(HD47*HK47+HD48*HK48)/HK49</f>
        <v>0.5</v>
      </c>
      <c r="HE49" s="118">
        <f>(HE47*HK47+HE48*HK48)/HK49</f>
        <v>0.5</v>
      </c>
      <c r="HF49" s="118">
        <f>(HF47*HK47+HF48*HK48)/HK49</f>
        <v>0</v>
      </c>
      <c r="HG49" s="119">
        <f>(HG47*HK47+HG48*HK48)/HK49</f>
        <v>0.1744047619047619</v>
      </c>
      <c r="HH49" s="48">
        <f t="shared" ref="HH49" si="866">SUM(HH47:HH48)</f>
        <v>0</v>
      </c>
      <c r="HI49" s="120">
        <f>SUM(HI47:HI48)</f>
        <v>1440</v>
      </c>
      <c r="HJ49" s="123">
        <f>SUM(HJ47:HJ48)</f>
        <v>5274</v>
      </c>
      <c r="HK49" s="48">
        <f>SUM(HK47:HK48)</f>
        <v>42</v>
      </c>
      <c r="HN49" s="32" t="s">
        <v>39</v>
      </c>
      <c r="HO49" s="29">
        <f>SUM(HO47:HO48)</f>
        <v>744</v>
      </c>
      <c r="HP49" s="29">
        <f t="shared" ref="HP49:HX49" si="867">SUM(HP47:HP48)</f>
        <v>104.8</v>
      </c>
      <c r="HQ49" s="29">
        <f>SUM(HQ47:HQ48)</f>
        <v>639.20000000000005</v>
      </c>
      <c r="HR49" s="29">
        <f t="shared" si="867"/>
        <v>744</v>
      </c>
      <c r="HS49" s="79">
        <f>(HS47*IG47+HS48*IG48)/IG49</f>
        <v>0.5</v>
      </c>
      <c r="HT49" s="29">
        <f t="shared" si="867"/>
        <v>0</v>
      </c>
      <c r="HU49" s="79">
        <f>(HU47*IG47+HU48*IG48)/IG49</f>
        <v>0</v>
      </c>
      <c r="HV49" s="30">
        <f>SUM(HV47:HV48)</f>
        <v>0</v>
      </c>
      <c r="HW49" s="78">
        <f>(HW47*IG47+HW48*IG48)/IG49</f>
        <v>0</v>
      </c>
      <c r="HX49" s="29">
        <f t="shared" si="867"/>
        <v>0</v>
      </c>
      <c r="HY49" s="78">
        <f>(HY47*IG47+HY48*IG48)/IG49</f>
        <v>0.5</v>
      </c>
      <c r="HZ49" s="79">
        <f>(HZ47*IG47+HZ48*IG48)/IG49</f>
        <v>0.5</v>
      </c>
      <c r="IA49" s="79">
        <f>(IA47*IG47+IA48*IG48)/IG49</f>
        <v>0.5</v>
      </c>
      <c r="IB49" s="79">
        <f>(IB47*IG47+IB48*IG48)/IG49</f>
        <v>0</v>
      </c>
      <c r="IC49" s="81">
        <f>(IC47*IG47+IC48*IG48)/IG49</f>
        <v>6.4452124935995905E-2</v>
      </c>
      <c r="ID49" s="29">
        <f t="shared" ref="ID49" si="868">SUM(ID47:ID48)</f>
        <v>0</v>
      </c>
      <c r="IE49" s="30">
        <f>SUM(IE47:IE48)</f>
        <v>1488</v>
      </c>
      <c r="IF49" s="34">
        <f>SUM(IF47:IF48)</f>
        <v>2014</v>
      </c>
      <c r="IG49" s="29">
        <f>SUM(IG47:IG48)</f>
        <v>42</v>
      </c>
      <c r="IJ49" s="32" t="s">
        <v>84</v>
      </c>
      <c r="IK49" s="29">
        <f>SUM(IK47:IK48)</f>
        <v>720</v>
      </c>
      <c r="IL49" s="29">
        <f t="shared" ref="IL49" si="869">SUM(IL47:IL48)</f>
        <v>161.9</v>
      </c>
      <c r="IM49" s="29">
        <f>SUM(IM47:IM48)</f>
        <v>558.1</v>
      </c>
      <c r="IN49" s="29">
        <f t="shared" ref="IN49" si="870">SUM(IN47:IN48)</f>
        <v>720</v>
      </c>
      <c r="IO49" s="78">
        <f>(IO47*JC47+IO48*JC48)/JC49</f>
        <v>0.5</v>
      </c>
      <c r="IP49" s="29">
        <f>SUM(IP47:IP48)</f>
        <v>0</v>
      </c>
      <c r="IQ49" s="78">
        <f>(IQ47*JC47+IQ48*JC48)/JC49</f>
        <v>0</v>
      </c>
      <c r="IR49" s="29">
        <f>SUM(IR47:IR48)</f>
        <v>0</v>
      </c>
      <c r="IS49" s="78">
        <f>(IS47*JC47+IS48*JC48)/JC49</f>
        <v>0</v>
      </c>
      <c r="IT49" s="29">
        <f>SUM(IT47:IT48)</f>
        <v>0</v>
      </c>
      <c r="IU49" s="79">
        <f>(IU47*JC47+IU48*JC48)/JC49</f>
        <v>0.5</v>
      </c>
      <c r="IV49" s="80">
        <f>(IV47*JC47+IV48*JC48)/JC49</f>
        <v>0.5</v>
      </c>
      <c r="IW49" s="80">
        <f>(IW47*JC47+IW48*JC48)/JC49</f>
        <v>0.5</v>
      </c>
      <c r="IX49" s="80">
        <f>(IX47*JC47+IX48*JC48)/JC49</f>
        <v>0</v>
      </c>
      <c r="IY49" s="80">
        <f>(IY47*JC47+IY48*JC48)/JC49</f>
        <v>0.10271164021164021</v>
      </c>
      <c r="IZ49" s="29">
        <f>SUM(IZ47:IZ48)</f>
        <v>0</v>
      </c>
      <c r="JA49" s="33">
        <f>SUM(JA47:JA48)</f>
        <v>1440</v>
      </c>
      <c r="JB49" s="47">
        <f>SUM(JB47:JB48)</f>
        <v>3106</v>
      </c>
      <c r="JC49" s="29">
        <f>SUM(JC47:JC48)</f>
        <v>42</v>
      </c>
    </row>
    <row r="50" spans="1:263" ht="15" x14ac:dyDescent="0.25">
      <c r="A50" s="74" t="s">
        <v>58</v>
      </c>
      <c r="B50" s="37" t="s">
        <v>47</v>
      </c>
      <c r="C50" s="8">
        <v>744</v>
      </c>
      <c r="D50" s="8">
        <v>56</v>
      </c>
      <c r="E50" s="8">
        <v>688</v>
      </c>
      <c r="F50" s="8">
        <v>0</v>
      </c>
      <c r="G50" s="6">
        <f>(F50/$B$4)</f>
        <v>0</v>
      </c>
      <c r="H50" s="8">
        <v>0</v>
      </c>
      <c r="I50" s="6">
        <f>(H50/$B$4)</f>
        <v>0</v>
      </c>
      <c r="J50" s="6">
        <v>0</v>
      </c>
      <c r="K50" s="6">
        <f>(J50/$B$4)</f>
        <v>0</v>
      </c>
      <c r="L50" s="8">
        <v>0</v>
      </c>
      <c r="M50" s="69">
        <f>(C50/$B$4)</f>
        <v>1</v>
      </c>
      <c r="N50" s="69">
        <f>((C50-L50)/$B$4)</f>
        <v>1</v>
      </c>
      <c r="O50" s="69">
        <f>IF((AND(D50=0,F50=0)),0,(F50+L50)/(D50+F50+L50))</f>
        <v>0</v>
      </c>
      <c r="P50" s="149">
        <f>L50/$B$4</f>
        <v>0</v>
      </c>
      <c r="Q50" s="69">
        <f>(T50/($B$4*U50))</f>
        <v>6.4900153609831035E-2</v>
      </c>
      <c r="R50" s="15">
        <v>0</v>
      </c>
      <c r="S50" s="6">
        <f>SUM(D50:F50,H50,J50)</f>
        <v>744</v>
      </c>
      <c r="T50" s="86">
        <v>1014</v>
      </c>
      <c r="U50" s="8">
        <v>21</v>
      </c>
      <c r="W50" s="74" t="s">
        <v>58</v>
      </c>
      <c r="X50" s="37" t="s">
        <v>47</v>
      </c>
      <c r="Y50" s="8">
        <v>744</v>
      </c>
      <c r="Z50" s="8">
        <v>181.7</v>
      </c>
      <c r="AA50" s="8">
        <v>562.29999999999995</v>
      </c>
      <c r="AB50" s="8">
        <v>0</v>
      </c>
      <c r="AC50" s="6">
        <f>(AB50/$X$4)</f>
        <v>0</v>
      </c>
      <c r="AD50" s="8">
        <v>0</v>
      </c>
      <c r="AE50" s="6">
        <f>(AD50/$X$4)</f>
        <v>0</v>
      </c>
      <c r="AF50" s="8">
        <v>0</v>
      </c>
      <c r="AG50" s="6">
        <f>(AF50/$X$4)</f>
        <v>0</v>
      </c>
      <c r="AH50" s="8">
        <v>0</v>
      </c>
      <c r="AI50" s="69">
        <f>(Y50/$X$4)</f>
        <v>1</v>
      </c>
      <c r="AJ50" s="69">
        <f>((Y50-AH50)/$X$4)</f>
        <v>1</v>
      </c>
      <c r="AK50" s="69">
        <f>IF((AND(Z50=0,AB50=0)),0,(AB50+AH50)/(Z50+AB50+AH50))</f>
        <v>0</v>
      </c>
      <c r="AL50" s="149">
        <f>AH50/$X$4</f>
        <v>0</v>
      </c>
      <c r="AM50" s="69">
        <f>(AP50/($X$4*AQ50))</f>
        <v>0.21908602150537634</v>
      </c>
      <c r="AN50" s="15">
        <v>0</v>
      </c>
      <c r="AO50" s="6">
        <f>SUM(Z50:AB50,AD50,AF50)</f>
        <v>744</v>
      </c>
      <c r="AP50" s="86">
        <v>3423</v>
      </c>
      <c r="AQ50" s="8">
        <v>21</v>
      </c>
      <c r="AS50" s="74" t="s">
        <v>58</v>
      </c>
      <c r="AT50" s="37" t="s">
        <v>47</v>
      </c>
      <c r="AU50" s="8">
        <v>720</v>
      </c>
      <c r="AV50" s="8">
        <v>168</v>
      </c>
      <c r="AW50" s="8">
        <v>552</v>
      </c>
      <c r="AX50" s="8">
        <v>0</v>
      </c>
      <c r="AY50" s="8">
        <f>(AX50/$AT$4)</f>
        <v>0</v>
      </c>
      <c r="AZ50" s="8">
        <v>0</v>
      </c>
      <c r="BA50" s="8">
        <f>(AZ50/$AT$4)</f>
        <v>0</v>
      </c>
      <c r="BB50" s="8">
        <v>0</v>
      </c>
      <c r="BC50" s="8">
        <f>(BB50/$AT$4)</f>
        <v>0</v>
      </c>
      <c r="BD50" s="8">
        <v>0</v>
      </c>
      <c r="BE50" s="69">
        <f>(AU50/$AT$4)</f>
        <v>1</v>
      </c>
      <c r="BF50" s="69">
        <f>((AU50-BD50)/$AT$4)</f>
        <v>1</v>
      </c>
      <c r="BG50" s="69">
        <f>IF((AND(AV50=0,AX50=0)),0,(AX50+BD50)/(AV50+AX50+BD50))</f>
        <v>0</v>
      </c>
      <c r="BH50" s="149">
        <f>BD50/$AT$4</f>
        <v>0</v>
      </c>
      <c r="BI50" s="69">
        <f>(BL50/($AT$4*BM50))</f>
        <v>0.21097883597883599</v>
      </c>
      <c r="BJ50" s="6"/>
      <c r="BK50" s="6">
        <f>SUM(AV50:AX50,AZ50,BB50)</f>
        <v>720</v>
      </c>
      <c r="BL50" s="8">
        <v>3190</v>
      </c>
      <c r="BM50" s="8">
        <v>21</v>
      </c>
      <c r="BO50" s="74" t="s">
        <v>58</v>
      </c>
      <c r="BP50" s="37" t="s">
        <v>47</v>
      </c>
      <c r="BQ50" s="8">
        <v>744</v>
      </c>
      <c r="BR50" s="8">
        <v>143.6</v>
      </c>
      <c r="BS50" s="8">
        <v>600.4</v>
      </c>
      <c r="BT50" s="8">
        <v>0</v>
      </c>
      <c r="BU50" s="6">
        <f>(BT50/$BP$4)</f>
        <v>0</v>
      </c>
      <c r="BV50" s="8">
        <v>0</v>
      </c>
      <c r="BW50" s="6">
        <f>(BV50/$BP$4)</f>
        <v>0</v>
      </c>
      <c r="BX50" s="8">
        <v>0</v>
      </c>
      <c r="BY50" s="6">
        <f>(BX50/$BP$4)</f>
        <v>0</v>
      </c>
      <c r="BZ50" s="8">
        <v>0</v>
      </c>
      <c r="CA50" s="69">
        <f>(BQ50/$BP$4)</f>
        <v>1</v>
      </c>
      <c r="CB50" s="69">
        <f>((BQ50-BZ50)/$BP$4)</f>
        <v>1</v>
      </c>
      <c r="CC50" s="149">
        <f>IF((AND(BR50=0,BT50=0)),0,(BT50+BZ50)/(BR50+BT50+BZ50))</f>
        <v>0</v>
      </c>
      <c r="CD50" s="149">
        <f>BZ50/$BP$4</f>
        <v>0</v>
      </c>
      <c r="CE50" s="69">
        <f>(CH50/($BP$4*CI50))</f>
        <v>0.17562724014336917</v>
      </c>
      <c r="CF50" s="69"/>
      <c r="CG50" s="42">
        <f>SUM(BR50:BT50,BV50,BX50)</f>
        <v>744</v>
      </c>
      <c r="CH50" s="86">
        <v>2744</v>
      </c>
      <c r="CI50" s="8">
        <v>21</v>
      </c>
      <c r="CK50" s="74" t="s">
        <v>58</v>
      </c>
      <c r="CL50" s="37" t="s">
        <v>47</v>
      </c>
      <c r="CM50" s="8">
        <v>720</v>
      </c>
      <c r="CN50" s="8">
        <v>35.299999999999997</v>
      </c>
      <c r="CO50" s="8">
        <v>684.7</v>
      </c>
      <c r="CP50" s="8">
        <v>0</v>
      </c>
      <c r="CQ50" s="6">
        <f>(CP50/$CL$4)</f>
        <v>0</v>
      </c>
      <c r="CR50" s="8">
        <v>0</v>
      </c>
      <c r="CS50" s="6">
        <f>(CR50/$CL$4)</f>
        <v>0</v>
      </c>
      <c r="CT50" s="6">
        <v>0</v>
      </c>
      <c r="CU50" s="6">
        <f>(CT50/$CL$4)</f>
        <v>0</v>
      </c>
      <c r="CV50" s="8">
        <v>0</v>
      </c>
      <c r="CW50" s="69">
        <f>(CM50/$CL$4)</f>
        <v>1</v>
      </c>
      <c r="CX50" s="69">
        <f>((CM50-CV50)/$CL$4)</f>
        <v>1</v>
      </c>
      <c r="CY50" s="149">
        <f>IF((AND(CN50=0,CP50=0)),0,(CP50+CV50)/(CN50+CP50+CV50))</f>
        <v>0</v>
      </c>
      <c r="CZ50" s="149">
        <f>CV50/$CL$4</f>
        <v>0</v>
      </c>
      <c r="DA50" s="69">
        <f>(DD50/($CL$4*DE50))</f>
        <v>4.417989417989418E-2</v>
      </c>
      <c r="DB50" s="6"/>
      <c r="DC50" s="6">
        <f>SUM(CN50:CP50,CR50,CT50)</f>
        <v>720</v>
      </c>
      <c r="DD50" s="8">
        <v>668</v>
      </c>
      <c r="DE50" s="8">
        <v>21</v>
      </c>
      <c r="DG50" s="74" t="s">
        <v>58</v>
      </c>
      <c r="DH50" s="37" t="s">
        <v>47</v>
      </c>
      <c r="DI50" s="8">
        <v>744</v>
      </c>
      <c r="DJ50" s="8">
        <v>55.9</v>
      </c>
      <c r="DK50" s="8">
        <v>688.1</v>
      </c>
      <c r="DL50" s="8">
        <v>0</v>
      </c>
      <c r="DM50" s="69">
        <f>(DL50/$DH$4)</f>
        <v>0</v>
      </c>
      <c r="DN50" s="8">
        <v>0</v>
      </c>
      <c r="DO50" s="69">
        <f>(DN50/$DH$4)</f>
        <v>0</v>
      </c>
      <c r="DP50" s="6">
        <v>0</v>
      </c>
      <c r="DQ50" s="69">
        <f>(DP50/$DH$4)</f>
        <v>0</v>
      </c>
      <c r="DR50" s="8">
        <v>0</v>
      </c>
      <c r="DS50" s="69">
        <f>(DI50/$X$4)</f>
        <v>1</v>
      </c>
      <c r="DT50" s="69">
        <f>((DI50-DR50)/$DH$4)</f>
        <v>1</v>
      </c>
      <c r="DU50" s="149">
        <f>IF((AND(DJ50=0,DL50=0)),0,(DL50+DR50)/(DJ50+DL50+DR50))</f>
        <v>0</v>
      </c>
      <c r="DV50" s="149">
        <f>DR50/$DH$4</f>
        <v>0</v>
      </c>
      <c r="DW50" s="69">
        <f>(DZ50/($DH$4*EA50))</f>
        <v>6.8100358422939072E-2</v>
      </c>
      <c r="DX50" s="69"/>
      <c r="DY50" s="15">
        <f>SUM(DJ50:DL50,DN50,DP50)</f>
        <v>744</v>
      </c>
      <c r="DZ50" s="8">
        <v>1064</v>
      </c>
      <c r="EA50" s="8">
        <v>21</v>
      </c>
      <c r="EC50" s="74" t="s">
        <v>58</v>
      </c>
      <c r="ED50" s="37" t="s">
        <v>47</v>
      </c>
      <c r="EE50" s="8">
        <v>744</v>
      </c>
      <c r="EF50" s="8">
        <v>119</v>
      </c>
      <c r="EG50" s="8">
        <v>625</v>
      </c>
      <c r="EH50" s="8">
        <v>0</v>
      </c>
      <c r="EI50" s="6">
        <f>(EH50/$ED$4)</f>
        <v>0</v>
      </c>
      <c r="EJ50" s="8">
        <v>0</v>
      </c>
      <c r="EK50" s="6">
        <f>(EJ50/$ED$4)</f>
        <v>0</v>
      </c>
      <c r="EL50" s="6">
        <v>0</v>
      </c>
      <c r="EM50" s="6">
        <f>(EL50/$ED$4)</f>
        <v>0</v>
      </c>
      <c r="EN50" s="8">
        <v>0</v>
      </c>
      <c r="EO50" s="69">
        <f>(EE50/$X$4)</f>
        <v>1</v>
      </c>
      <c r="EP50" s="69">
        <f>((EE50-EN50)/$ED$4)</f>
        <v>1</v>
      </c>
      <c r="EQ50" s="149">
        <f>IF((AND(EF50=0,EH50=0)),0,(EH50+EN50)/(EF50+EH50+EN50))</f>
        <v>0</v>
      </c>
      <c r="ER50" s="149"/>
      <c r="ES50" s="69">
        <f>(EV50/($ED$4*EW50))*100</f>
        <v>15.130568356374807</v>
      </c>
      <c r="ET50" s="6"/>
      <c r="EU50" s="6">
        <f>SUM(EF50:EH50,EJ50,EL50)</f>
        <v>744</v>
      </c>
      <c r="EV50" s="86">
        <v>2364</v>
      </c>
      <c r="EW50" s="8">
        <v>21</v>
      </c>
      <c r="EY50" s="74" t="s">
        <v>58</v>
      </c>
      <c r="EZ50" s="37" t="s">
        <v>47</v>
      </c>
      <c r="FA50" s="8">
        <v>672</v>
      </c>
      <c r="FB50" s="8">
        <v>93</v>
      </c>
      <c r="FC50" s="8">
        <v>579</v>
      </c>
      <c r="FD50" s="8">
        <v>0</v>
      </c>
      <c r="FE50" s="6">
        <f>(FD50/$EZ$4)</f>
        <v>0</v>
      </c>
      <c r="FF50" s="8">
        <v>0</v>
      </c>
      <c r="FG50" s="6">
        <f>(FF50/$EZ$4)</f>
        <v>0</v>
      </c>
      <c r="FH50" s="6">
        <v>0</v>
      </c>
      <c r="FI50" s="6">
        <f>(FH50/$EZ$4)</f>
        <v>0</v>
      </c>
      <c r="FJ50" s="8">
        <v>0</v>
      </c>
      <c r="FK50" s="69">
        <f>(FA50/$X$4)</f>
        <v>0.90322580645161288</v>
      </c>
      <c r="FL50" s="69">
        <f>((FA50-FJ50)/$EZ$4)</f>
        <v>1</v>
      </c>
      <c r="FM50" s="149">
        <f>IF((AND(FB50=0,FD50=0)),0,(FD50+FJ50)/(FB50+FD50+FJ50))</f>
        <v>0</v>
      </c>
      <c r="FN50" s="149">
        <f>FJ50/$EZ$4</f>
        <v>0</v>
      </c>
      <c r="FO50" s="69">
        <f>(FR50/($EZ$4*FS50))</f>
        <v>0.12145691609977324</v>
      </c>
      <c r="FP50" s="6"/>
      <c r="FQ50" s="6">
        <f>SUM(FB50:FD50,FF50,FH50)</f>
        <v>672</v>
      </c>
      <c r="FR50" s="86">
        <v>1714</v>
      </c>
      <c r="FS50" s="8">
        <v>21</v>
      </c>
      <c r="FU50" s="74" t="s">
        <v>58</v>
      </c>
      <c r="FV50" s="37" t="s">
        <v>47</v>
      </c>
      <c r="FW50" s="8">
        <v>744</v>
      </c>
      <c r="FX50" s="8">
        <v>190.5</v>
      </c>
      <c r="FY50" s="8">
        <v>553.5</v>
      </c>
      <c r="FZ50" s="8">
        <v>0</v>
      </c>
      <c r="GA50" s="69">
        <f>(FZ50/$FV$4)</f>
        <v>0</v>
      </c>
      <c r="GB50" s="8">
        <v>0</v>
      </c>
      <c r="GC50" s="69">
        <f>(GB50/$FV$4)</f>
        <v>0</v>
      </c>
      <c r="GD50" s="6">
        <v>0</v>
      </c>
      <c r="GE50" s="6">
        <f>(GD50/$FV$4)</f>
        <v>0</v>
      </c>
      <c r="GF50" s="8">
        <v>0</v>
      </c>
      <c r="GG50" s="69">
        <f>(FW50/$X$4)</f>
        <v>1</v>
      </c>
      <c r="GH50" s="69">
        <f>((FW50-GF50)/$FV$4)</f>
        <v>1</v>
      </c>
      <c r="GI50" s="149">
        <f>IF((AND(FX50=0,FZ50=0)),0,(FZ50+GF50)/(FX50+FZ50+GF50))</f>
        <v>0</v>
      </c>
      <c r="GJ50" s="149">
        <f>GF50/$FV$4</f>
        <v>0</v>
      </c>
      <c r="GK50" s="69">
        <f>(GN50/($FV$4*GO50))</f>
        <v>0.22574244751664108</v>
      </c>
      <c r="GL50" s="69"/>
      <c r="GM50" s="6">
        <f>SUM(FX50:FZ50,GB50,GD50)</f>
        <v>744</v>
      </c>
      <c r="GN50" s="86">
        <v>3527</v>
      </c>
      <c r="GO50" s="8">
        <v>21</v>
      </c>
      <c r="GQ50" s="74" t="s">
        <v>58</v>
      </c>
      <c r="GR50" s="37" t="s">
        <v>47</v>
      </c>
      <c r="GS50" s="8">
        <v>720</v>
      </c>
      <c r="GT50" s="8">
        <v>267.8</v>
      </c>
      <c r="GU50" s="8">
        <v>452.2</v>
      </c>
      <c r="GV50" s="8">
        <v>0</v>
      </c>
      <c r="GW50" s="6">
        <f>(GV50/$GR$4)</f>
        <v>0</v>
      </c>
      <c r="GX50" s="8">
        <v>0</v>
      </c>
      <c r="GY50" s="8">
        <f>(GX50/$GR$4)</f>
        <v>0</v>
      </c>
      <c r="GZ50" s="8">
        <v>0</v>
      </c>
      <c r="HA50" s="6">
        <f>(GZ50/$GR$4)</f>
        <v>0</v>
      </c>
      <c r="HB50" s="8">
        <v>0</v>
      </c>
      <c r="HC50" s="69">
        <f>(GS50/$X$4)</f>
        <v>0.967741935483871</v>
      </c>
      <c r="HD50" s="69">
        <f>((GS50-HB50)/$GR$4)</f>
        <v>1</v>
      </c>
      <c r="HE50" s="149">
        <f>IF((AND(GT50=0,GV50=0)),0,(GV50+HB50)/(GT50+GV50+HB50))</f>
        <v>0</v>
      </c>
      <c r="HF50" s="149">
        <f>HB50/$GR$4</f>
        <v>0</v>
      </c>
      <c r="HG50" s="69">
        <f>(HJ50/($GR$4*HK50))</f>
        <v>0.32314814814814813</v>
      </c>
      <c r="HH50" s="15">
        <v>0</v>
      </c>
      <c r="HI50" s="6">
        <f>SUM(GT50:GV50,GX50,GZ50)</f>
        <v>720</v>
      </c>
      <c r="HJ50" s="85">
        <v>4886</v>
      </c>
      <c r="HK50" s="8">
        <v>21</v>
      </c>
      <c r="HM50" s="74" t="s">
        <v>58</v>
      </c>
      <c r="HN50" s="37" t="s">
        <v>47</v>
      </c>
      <c r="HO50" s="8">
        <v>744</v>
      </c>
      <c r="HP50" s="8">
        <v>125.1</v>
      </c>
      <c r="HQ50" s="8">
        <v>618.9</v>
      </c>
      <c r="HR50" s="8">
        <v>0</v>
      </c>
      <c r="HS50" s="6">
        <f>(HR50/$HN$4)</f>
        <v>0</v>
      </c>
      <c r="HT50" s="8">
        <v>0</v>
      </c>
      <c r="HU50" s="6">
        <f>(HT50/$HN$4)</f>
        <v>0</v>
      </c>
      <c r="HV50" s="8">
        <v>0</v>
      </c>
      <c r="HW50" s="6">
        <f>(HV50/$HN$4)</f>
        <v>0</v>
      </c>
      <c r="HX50" s="8">
        <v>0</v>
      </c>
      <c r="HY50" s="69">
        <f>(HO50/$HN$4)</f>
        <v>1</v>
      </c>
      <c r="HZ50" s="69">
        <f>((HO50-HX50)/$HN$4)</f>
        <v>1</v>
      </c>
      <c r="IA50" s="69">
        <f>IF((AND(HP50=0,HR50=0)),0,(HR50+HX50)/(HP50+HR50))</f>
        <v>0</v>
      </c>
      <c r="IB50" s="149">
        <f>HX50/$HN$4</f>
        <v>0</v>
      </c>
      <c r="IC50" s="69">
        <f>(IF50/($HN$4*IG50))</f>
        <v>0.14349718381976445</v>
      </c>
      <c r="ID50" s="15">
        <v>0</v>
      </c>
      <c r="IE50" s="6">
        <f>SUM(HP50:HR50,HT50,HV50)</f>
        <v>744</v>
      </c>
      <c r="IF50" s="86">
        <v>2242</v>
      </c>
      <c r="IG50" s="8">
        <v>21</v>
      </c>
      <c r="II50" s="74" t="s">
        <v>58</v>
      </c>
      <c r="IJ50" s="37" t="s">
        <v>47</v>
      </c>
      <c r="IK50" s="8">
        <v>720</v>
      </c>
      <c r="IL50" s="8">
        <v>182.6</v>
      </c>
      <c r="IM50" s="8">
        <v>537.4</v>
      </c>
      <c r="IN50" s="8">
        <v>0</v>
      </c>
      <c r="IO50" s="69">
        <f>(IN50/$IJ$4)</f>
        <v>0</v>
      </c>
      <c r="IP50" s="8">
        <v>0</v>
      </c>
      <c r="IQ50" s="69">
        <f>(IP50/$IJ$4)</f>
        <v>0</v>
      </c>
      <c r="IR50" s="8">
        <v>0</v>
      </c>
      <c r="IS50" s="69">
        <f>(IR50/$IJ$4)</f>
        <v>0</v>
      </c>
      <c r="IT50" s="8">
        <v>0</v>
      </c>
      <c r="IU50" s="69">
        <f>(IK50/$IJ$4)</f>
        <v>1</v>
      </c>
      <c r="IV50" s="164">
        <f>((IK50-IT50)/$IJ$4)</f>
        <v>1</v>
      </c>
      <c r="IW50" s="164">
        <f>IF((AND(IL50=0,IN50=0)),0,(IN50+IT50)/(IL50+IN50+IT50))</f>
        <v>0</v>
      </c>
      <c r="IX50" s="149">
        <f>IT50/$IJ$4</f>
        <v>0</v>
      </c>
      <c r="IY50" s="69">
        <f>(JB50/($IJ$4*JC50))</f>
        <v>0.2164021164021164</v>
      </c>
      <c r="IZ50" s="15">
        <v>0</v>
      </c>
      <c r="JA50" s="15">
        <f>SUM(IL50:IN50,IP50,IR50)</f>
        <v>720</v>
      </c>
      <c r="JB50" s="46">
        <v>3272</v>
      </c>
      <c r="JC50" s="8">
        <v>21</v>
      </c>
    </row>
    <row r="51" spans="1:263" ht="14.25" x14ac:dyDescent="0.25">
      <c r="B51" s="37" t="s">
        <v>48</v>
      </c>
      <c r="C51" s="8">
        <v>744</v>
      </c>
      <c r="D51" s="8">
        <v>0</v>
      </c>
      <c r="E51" s="8">
        <v>744</v>
      </c>
      <c r="F51" s="8">
        <v>0</v>
      </c>
      <c r="G51" s="6">
        <f>(F51/$B$4)</f>
        <v>0</v>
      </c>
      <c r="H51" s="8">
        <v>0</v>
      </c>
      <c r="I51" s="6">
        <f>(H51/$B$4)</f>
        <v>0</v>
      </c>
      <c r="J51" s="6">
        <v>0</v>
      </c>
      <c r="K51" s="6">
        <f>(J51/$B$4)</f>
        <v>0</v>
      </c>
      <c r="L51" s="8">
        <v>0</v>
      </c>
      <c r="M51" s="69">
        <f>(C51/$B$4)</f>
        <v>1</v>
      </c>
      <c r="N51" s="69">
        <f>((C51-L51)/$B$4)</f>
        <v>1</v>
      </c>
      <c r="O51" s="69">
        <f>IF((AND(D51=0,F51=0)),0,(F51+L51)/(D51+F51+L51))</f>
        <v>0</v>
      </c>
      <c r="P51" s="149">
        <f>L51/$B$4</f>
        <v>0</v>
      </c>
      <c r="Q51" s="69">
        <f>(T51/($B$4*U51))</f>
        <v>0</v>
      </c>
      <c r="R51" s="15">
        <v>0</v>
      </c>
      <c r="S51" s="6">
        <f t="shared" ref="S51" si="871">SUM(D51:F51,H51,J51)</f>
        <v>744</v>
      </c>
      <c r="T51" s="8">
        <v>0</v>
      </c>
      <c r="U51" s="8">
        <v>21</v>
      </c>
      <c r="X51" s="37" t="s">
        <v>48</v>
      </c>
      <c r="Y51" s="8">
        <v>744</v>
      </c>
      <c r="Z51" s="8">
        <v>0</v>
      </c>
      <c r="AA51" s="8">
        <v>744</v>
      </c>
      <c r="AB51" s="8">
        <v>0</v>
      </c>
      <c r="AC51" s="6">
        <f>(AB51/$X$4)</f>
        <v>0</v>
      </c>
      <c r="AD51" s="8">
        <v>0</v>
      </c>
      <c r="AE51" s="6">
        <f>(AD51/$X$4)</f>
        <v>0</v>
      </c>
      <c r="AF51" s="8">
        <v>0</v>
      </c>
      <c r="AG51" s="6">
        <f>(AF51/$X$4)</f>
        <v>0</v>
      </c>
      <c r="AH51" s="8">
        <v>0</v>
      </c>
      <c r="AI51" s="69">
        <f>(Y51/$X$4)</f>
        <v>1</v>
      </c>
      <c r="AJ51" s="69">
        <f>((Y51-AH51)/$X$4)</f>
        <v>1</v>
      </c>
      <c r="AK51" s="69">
        <f>IF((AND(Z51=0,AB51=0)),0,(AB51+AH51)/(Z51+AB51+AH51))</f>
        <v>0</v>
      </c>
      <c r="AL51" s="149">
        <f>AH51/$X$4</f>
        <v>0</v>
      </c>
      <c r="AM51" s="69">
        <f>(AP51/($X$4*AQ51))</f>
        <v>0</v>
      </c>
      <c r="AN51" s="15">
        <v>0</v>
      </c>
      <c r="AO51" s="6">
        <f t="shared" ref="AO51" si="872">SUM(Z51:AB51,AD51,AF51)</f>
        <v>744</v>
      </c>
      <c r="AP51" s="8">
        <v>0</v>
      </c>
      <c r="AQ51" s="8">
        <v>21</v>
      </c>
      <c r="AT51" s="37" t="s">
        <v>48</v>
      </c>
      <c r="AU51" s="8">
        <v>720</v>
      </c>
      <c r="AV51" s="8">
        <v>0</v>
      </c>
      <c r="AW51" s="8">
        <v>720</v>
      </c>
      <c r="AX51" s="8">
        <v>0</v>
      </c>
      <c r="AY51" s="6">
        <f>(AX51/$AT$4)</f>
        <v>0</v>
      </c>
      <c r="AZ51" s="8">
        <v>0</v>
      </c>
      <c r="BA51" s="6">
        <f>(AZ51/$AT$4)</f>
        <v>0</v>
      </c>
      <c r="BB51" s="8">
        <v>0</v>
      </c>
      <c r="BC51" s="6">
        <f>(BB51/$AT$4)</f>
        <v>0</v>
      </c>
      <c r="BD51" s="8">
        <v>0</v>
      </c>
      <c r="BE51" s="69">
        <f t="shared" ref="BE51" si="873">(AU51/$AT$4)</f>
        <v>1</v>
      </c>
      <c r="BF51" s="69">
        <f t="shared" ref="BF51" si="874">((AU51-BD51)/$AT$4)</f>
        <v>1</v>
      </c>
      <c r="BG51" s="69">
        <f t="shared" ref="BG51" si="875">IF((AND(AV51=0,AX51=0)),0,(AX51+BD51)/(AV51+AX51+BD51))</f>
        <v>0</v>
      </c>
      <c r="BH51" s="149">
        <f t="shared" ref="BH51" si="876">BD51/$AT$4</f>
        <v>0</v>
      </c>
      <c r="BI51" s="69">
        <f t="shared" ref="BI51" si="877">(BL51/($AT$4*BM51))</f>
        <v>0</v>
      </c>
      <c r="BJ51" s="6"/>
      <c r="BK51" s="6">
        <f t="shared" ref="BK51" si="878">SUM(AV51:AX51,AZ51,BB51)</f>
        <v>720</v>
      </c>
      <c r="BL51" s="8">
        <v>0</v>
      </c>
      <c r="BM51" s="8">
        <v>21</v>
      </c>
      <c r="BP51" s="37" t="s">
        <v>48</v>
      </c>
      <c r="BQ51" s="8">
        <v>744</v>
      </c>
      <c r="BR51" s="8">
        <v>0</v>
      </c>
      <c r="BS51" s="8">
        <v>744</v>
      </c>
      <c r="BT51" s="8">
        <v>0</v>
      </c>
      <c r="BU51" s="6">
        <f t="shared" ref="BU51:BW51" si="879">(BT51/$BP$4)</f>
        <v>0</v>
      </c>
      <c r="BV51" s="8">
        <v>0</v>
      </c>
      <c r="BW51" s="6">
        <f t="shared" si="879"/>
        <v>0</v>
      </c>
      <c r="BX51" s="8">
        <v>0</v>
      </c>
      <c r="BY51" s="6">
        <f t="shared" ref="BY51" si="880">(BX51/$BP$4)</f>
        <v>0</v>
      </c>
      <c r="BZ51" s="8">
        <v>0</v>
      </c>
      <c r="CA51" s="69">
        <f t="shared" ref="CA51" si="881">(BQ51/$BP$4)</f>
        <v>1</v>
      </c>
      <c r="CB51" s="69">
        <f t="shared" ref="CB51" si="882">((BQ51-BZ51)/$BP$4)</f>
        <v>1</v>
      </c>
      <c r="CC51" s="149">
        <f t="shared" ref="CC51" si="883">IF((AND(BR51=0,BT51=0)),0,(BT51+BZ51)/(BR51+BT51+BZ51))</f>
        <v>0</v>
      </c>
      <c r="CD51" s="149">
        <f t="shared" ref="CD51" si="884">BZ51/$BP$4</f>
        <v>0</v>
      </c>
      <c r="CE51" s="69">
        <f t="shared" ref="CE51" si="885">(CH51/($BP$4*CI51))</f>
        <v>0</v>
      </c>
      <c r="CF51" s="69"/>
      <c r="CG51" s="42">
        <f t="shared" ref="CG51" si="886">SUM(BR51:BT51,BV51,BX51)</f>
        <v>744</v>
      </c>
      <c r="CH51" s="8">
        <v>0</v>
      </c>
      <c r="CI51" s="8">
        <v>21</v>
      </c>
      <c r="CL51" s="37" t="s">
        <v>48</v>
      </c>
      <c r="CM51" s="8">
        <v>720</v>
      </c>
      <c r="CN51" s="8">
        <v>0.3</v>
      </c>
      <c r="CO51" s="8">
        <v>719.7</v>
      </c>
      <c r="CP51" s="8">
        <v>0</v>
      </c>
      <c r="CQ51" s="6">
        <f t="shared" ref="CQ51:CS51" si="887">(CP51/$CL$4)</f>
        <v>0</v>
      </c>
      <c r="CR51" s="8">
        <v>0</v>
      </c>
      <c r="CS51" s="6">
        <f t="shared" si="887"/>
        <v>0</v>
      </c>
      <c r="CT51" s="6">
        <v>0</v>
      </c>
      <c r="CU51" s="6">
        <f t="shared" ref="CU51" si="888">(CT51/$CL$4)</f>
        <v>0</v>
      </c>
      <c r="CV51" s="8">
        <v>0</v>
      </c>
      <c r="CW51" s="69">
        <f t="shared" ref="CW51" si="889">(CM51/$CL$4)</f>
        <v>1</v>
      </c>
      <c r="CX51" s="69">
        <f t="shared" ref="CX51" si="890">((CM51-CV51)/$CL$4)</f>
        <v>1</v>
      </c>
      <c r="CY51" s="149">
        <f t="shared" ref="CY51" si="891">IF((AND(CN51=0,CP51=0)),0,(CP51+CV51)/(CN51+CP51+CV51))</f>
        <v>0</v>
      </c>
      <c r="CZ51" s="149">
        <f t="shared" ref="CZ51" si="892">CV51/$CL$4</f>
        <v>0</v>
      </c>
      <c r="DA51" s="69">
        <f t="shared" ref="DA51" si="893">(DD51/($CL$4*DE51))</f>
        <v>6.6137566137566142E-5</v>
      </c>
      <c r="DB51" s="6"/>
      <c r="DC51" s="6">
        <f t="shared" ref="DC51" si="894">SUM(CN51:CP51,CR51,CT51)</f>
        <v>720</v>
      </c>
      <c r="DD51" s="8">
        <v>1</v>
      </c>
      <c r="DE51" s="8">
        <v>21</v>
      </c>
      <c r="DH51" s="37" t="s">
        <v>48</v>
      </c>
      <c r="DI51" s="8">
        <v>744</v>
      </c>
      <c r="DJ51" s="8">
        <v>12.9</v>
      </c>
      <c r="DK51" s="8">
        <v>731.1</v>
      </c>
      <c r="DL51" s="8">
        <v>0</v>
      </c>
      <c r="DM51" s="69">
        <f>(DL51/$DH$4)</f>
        <v>0</v>
      </c>
      <c r="DN51" s="8">
        <v>0</v>
      </c>
      <c r="DO51" s="69">
        <f>(DN51/$DH$4)</f>
        <v>0</v>
      </c>
      <c r="DP51" s="6">
        <v>0</v>
      </c>
      <c r="DQ51" s="69">
        <f>(DP51/$DH$4)</f>
        <v>0</v>
      </c>
      <c r="DR51" s="8">
        <v>0</v>
      </c>
      <c r="DS51" s="69">
        <f t="shared" ref="DS51" si="895">(DI51/$X$4)</f>
        <v>1</v>
      </c>
      <c r="DT51" s="69">
        <f t="shared" ref="DT51" si="896">((DI51-DR51)/$DH$4)</f>
        <v>1</v>
      </c>
      <c r="DU51" s="149">
        <f t="shared" ref="DU51" si="897">IF((AND(DJ51=0,DL51=0)),0,(DL51+DR51)/(DJ51+DL51+DR51))</f>
        <v>0</v>
      </c>
      <c r="DV51" s="149">
        <f t="shared" ref="DV51" si="898">DR51/$DH$4</f>
        <v>0</v>
      </c>
      <c r="DW51" s="69">
        <f t="shared" ref="DW51" si="899">(DZ51/($DH$4*EA51))</f>
        <v>1.1840757808499743E-2</v>
      </c>
      <c r="DX51" s="69"/>
      <c r="DY51" s="15">
        <f t="shared" ref="DY51" si="900">SUM(DJ51:DL51,DN51,DP51)</f>
        <v>744</v>
      </c>
      <c r="DZ51" s="8">
        <v>185</v>
      </c>
      <c r="EA51" s="8">
        <v>21</v>
      </c>
      <c r="ED51" s="37" t="s">
        <v>48</v>
      </c>
      <c r="EE51" s="8">
        <v>744</v>
      </c>
      <c r="EF51" s="8">
        <v>55.2</v>
      </c>
      <c r="EG51" s="8">
        <v>688.8</v>
      </c>
      <c r="EH51" s="8">
        <v>0</v>
      </c>
      <c r="EI51" s="6">
        <f>(EH51/$ED$4)</f>
        <v>0</v>
      </c>
      <c r="EJ51" s="8">
        <v>0</v>
      </c>
      <c r="EK51" s="6">
        <f>(EJ51/$ED$4)</f>
        <v>0</v>
      </c>
      <c r="EL51" s="6">
        <v>0</v>
      </c>
      <c r="EM51" s="6">
        <f>(EL51/$ED$4)</f>
        <v>0</v>
      </c>
      <c r="EN51" s="8">
        <v>0</v>
      </c>
      <c r="EO51" s="69">
        <f>(EE51/$X$4)</f>
        <v>1</v>
      </c>
      <c r="EP51" s="69">
        <f>((EE51-EN51)/$ED$4)</f>
        <v>1</v>
      </c>
      <c r="EQ51" s="149">
        <f t="shared" ref="EQ51" si="901">IF((AND(EF51=0,EH51=0)),0,(EH51+EN51)/(EF51+EH51+EN51))</f>
        <v>0</v>
      </c>
      <c r="ER51" s="149"/>
      <c r="ES51" s="69">
        <f t="shared" ref="ES51" si="902">(EV51/($ED$4*EW51))*100</f>
        <v>5.779569892473118</v>
      </c>
      <c r="ET51" s="6"/>
      <c r="EU51" s="6">
        <f t="shared" ref="EU51" si="903">SUM(EF51:EH51,EJ51,EL51)</f>
        <v>744</v>
      </c>
      <c r="EV51" s="8">
        <v>903</v>
      </c>
      <c r="EW51" s="8">
        <v>21</v>
      </c>
      <c r="EZ51" s="37" t="s">
        <v>48</v>
      </c>
      <c r="FA51" s="8">
        <v>672</v>
      </c>
      <c r="FB51" s="8">
        <v>81</v>
      </c>
      <c r="FC51" s="8">
        <v>591</v>
      </c>
      <c r="FD51" s="8">
        <v>0</v>
      </c>
      <c r="FE51" s="6">
        <f>(FD51/$EZ$4)</f>
        <v>0</v>
      </c>
      <c r="FF51" s="8">
        <v>0</v>
      </c>
      <c r="FG51" s="6">
        <f>(FF51/$EZ$4)</f>
        <v>0</v>
      </c>
      <c r="FH51" s="6">
        <v>0</v>
      </c>
      <c r="FI51" s="6">
        <f>(FH51/$EZ$4)</f>
        <v>0</v>
      </c>
      <c r="FJ51" s="8">
        <v>0</v>
      </c>
      <c r="FK51" s="69">
        <f>(FA51/$X$4)</f>
        <v>0.90322580645161288</v>
      </c>
      <c r="FL51" s="69">
        <f>((FA51-FJ51)/$EZ$4)</f>
        <v>1</v>
      </c>
      <c r="FM51" s="149">
        <f>IF((AND(FB51=0,FD51=0)),0,(FD51+FJ51)/(FB51+FD51+FJ51))</f>
        <v>0</v>
      </c>
      <c r="FN51" s="149">
        <f>FJ51/$EZ$4</f>
        <v>0</v>
      </c>
      <c r="FO51" s="69">
        <f>(FR51/($EZ$4*FS51))</f>
        <v>0.10607993197278912</v>
      </c>
      <c r="FP51" s="6"/>
      <c r="FQ51" s="6">
        <f t="shared" ref="FQ51" si="904">SUM(FB51:FD51,FF51,FH51)</f>
        <v>672</v>
      </c>
      <c r="FR51" s="86">
        <v>1497</v>
      </c>
      <c r="FS51" s="8">
        <v>21</v>
      </c>
      <c r="FV51" s="37" t="s">
        <v>48</v>
      </c>
      <c r="FW51" s="8">
        <v>744</v>
      </c>
      <c r="FX51" s="8">
        <v>156.4</v>
      </c>
      <c r="FY51" s="8">
        <v>587.6</v>
      </c>
      <c r="FZ51" s="8">
        <v>0</v>
      </c>
      <c r="GA51" s="69">
        <f>(FZ51/$FV$4)</f>
        <v>0</v>
      </c>
      <c r="GB51" s="8">
        <v>0</v>
      </c>
      <c r="GC51" s="69">
        <f>(GB51/$FV$4)</f>
        <v>0</v>
      </c>
      <c r="GD51" s="6">
        <v>0</v>
      </c>
      <c r="GE51" s="6">
        <f>(GD51/$FV$4)</f>
        <v>0</v>
      </c>
      <c r="GF51" s="8">
        <v>0</v>
      </c>
      <c r="GG51" s="69">
        <f>(FW51/$X$4)</f>
        <v>1</v>
      </c>
      <c r="GH51" s="69">
        <f>((FW51-GF51)/$FV$4)</f>
        <v>1</v>
      </c>
      <c r="GI51" s="149">
        <f>IF((AND(FX51=0,FZ51=0)),0,(FZ51+GF51)/(FX51+FZ51+GF51))</f>
        <v>0</v>
      </c>
      <c r="GJ51" s="149">
        <f>GF51/$FV$4</f>
        <v>0</v>
      </c>
      <c r="GK51" s="69">
        <f>(GN51/($FV$4*GO51))</f>
        <v>0.18625192012288785</v>
      </c>
      <c r="GL51" s="69"/>
      <c r="GM51" s="6">
        <f t="shared" ref="GM51" si="905">SUM(FX51:FZ51,GB51,GD51)</f>
        <v>744</v>
      </c>
      <c r="GN51" s="86">
        <v>2910</v>
      </c>
      <c r="GO51" s="8">
        <v>21</v>
      </c>
      <c r="GR51" s="37" t="s">
        <v>48</v>
      </c>
      <c r="GS51" s="8">
        <v>720</v>
      </c>
      <c r="GT51" s="8">
        <v>159.30000000000001</v>
      </c>
      <c r="GU51" s="8">
        <v>560.70000000000005</v>
      </c>
      <c r="GV51" s="8">
        <v>0</v>
      </c>
      <c r="GW51" s="6">
        <f>(GV51/$GR$4)</f>
        <v>0</v>
      </c>
      <c r="GX51" s="8">
        <v>0</v>
      </c>
      <c r="GY51" s="8">
        <f>(GX51/$GR$4)</f>
        <v>0</v>
      </c>
      <c r="GZ51" s="8">
        <v>0</v>
      </c>
      <c r="HA51" s="6">
        <f>(GZ51/$GR$4)</f>
        <v>0</v>
      </c>
      <c r="HB51" s="8">
        <v>0</v>
      </c>
      <c r="HC51" s="69">
        <f>(GS51/$X$4)</f>
        <v>0.967741935483871</v>
      </c>
      <c r="HD51" s="69">
        <f>((GS51-HB51)/$GR$4)</f>
        <v>1</v>
      </c>
      <c r="HE51" s="149">
        <f t="shared" ref="HE51" si="906">IF((AND(GT51=0,GV51=0)),0,(GV51+HB51)/(GT51+GV51+HB51))</f>
        <v>0</v>
      </c>
      <c r="HF51" s="149">
        <f t="shared" ref="HF51" si="907">HB51/$GR$4</f>
        <v>0</v>
      </c>
      <c r="HG51" s="69">
        <f>(HJ51/($GR$4*HK51))</f>
        <v>0.32282499999999997</v>
      </c>
      <c r="HH51" s="15">
        <v>0</v>
      </c>
      <c r="HI51" s="6">
        <f t="shared" ref="HI51" si="908">SUM(GT51:GV51,GX51,GZ51)</f>
        <v>720</v>
      </c>
      <c r="HJ51" s="85">
        <v>4881.1139999999996</v>
      </c>
      <c r="HK51" s="8">
        <v>21</v>
      </c>
      <c r="HN51" s="37" t="s">
        <v>48</v>
      </c>
      <c r="HO51" s="8">
        <v>744</v>
      </c>
      <c r="HP51" s="8">
        <v>51.8</v>
      </c>
      <c r="HQ51" s="8">
        <v>692.2</v>
      </c>
      <c r="HR51" s="8">
        <v>0</v>
      </c>
      <c r="HS51" s="6">
        <f>(HR51/$HN$4)</f>
        <v>0</v>
      </c>
      <c r="HT51" s="8">
        <v>0</v>
      </c>
      <c r="HU51" s="6">
        <f>(HT51/$HN$4)</f>
        <v>0</v>
      </c>
      <c r="HV51" s="8">
        <v>0</v>
      </c>
      <c r="HW51" s="6">
        <f>(HV51/$HN$4)</f>
        <v>0</v>
      </c>
      <c r="HX51" s="8">
        <v>0</v>
      </c>
      <c r="HY51" s="69">
        <f>(HO51/$HN$4)</f>
        <v>1</v>
      </c>
      <c r="HZ51" s="69">
        <f>((HO51-HX51)/$HN$4)</f>
        <v>1</v>
      </c>
      <c r="IA51" s="69">
        <f>IF((AND(HP51=0,HR51=0)),0,(HR51+HX51)/(HP51+HR51))</f>
        <v>0</v>
      </c>
      <c r="IB51" s="149">
        <f>HX51/$HN$4</f>
        <v>0</v>
      </c>
      <c r="IC51" s="69">
        <f>(IF51/($HN$4*IG51))</f>
        <v>5.9523809523809521E-2</v>
      </c>
      <c r="ID51" s="15">
        <v>0</v>
      </c>
      <c r="IE51" s="6">
        <f t="shared" ref="IE51" si="909">SUM(HP51:HR51,HT51,HV51)</f>
        <v>744</v>
      </c>
      <c r="IF51" s="8">
        <v>930</v>
      </c>
      <c r="IG51" s="8">
        <v>21</v>
      </c>
      <c r="IJ51" s="37" t="s">
        <v>48</v>
      </c>
      <c r="IK51" s="8">
        <v>720</v>
      </c>
      <c r="IL51" s="8">
        <v>117.4</v>
      </c>
      <c r="IM51" s="8">
        <v>602.6</v>
      </c>
      <c r="IN51" s="8">
        <v>0</v>
      </c>
      <c r="IO51" s="69">
        <f>(IN51/$IJ$4)</f>
        <v>0</v>
      </c>
      <c r="IP51" s="8">
        <v>0</v>
      </c>
      <c r="IQ51" s="69">
        <f>(IP51/$IJ$4)</f>
        <v>0</v>
      </c>
      <c r="IR51" s="8">
        <v>0</v>
      </c>
      <c r="IS51" s="69">
        <f>(IR51/$IJ$4)</f>
        <v>0</v>
      </c>
      <c r="IT51" s="8">
        <v>0</v>
      </c>
      <c r="IU51" s="69">
        <f>(IK51/$IJ$4)</f>
        <v>1</v>
      </c>
      <c r="IV51" s="164">
        <f>((IK51-IT51)/$IJ$4)</f>
        <v>1</v>
      </c>
      <c r="IW51" s="164">
        <f>IF((AND(IL51=0,IN51=0)),0,(IN51+IT51)/(IL51+IN51+IT51))</f>
        <v>0</v>
      </c>
      <c r="IX51" s="149">
        <f t="shared" ref="IX51" si="910">IT51/$IJ$4</f>
        <v>0</v>
      </c>
      <c r="IY51" s="69">
        <f>(JB51/($IJ$4*JC51))</f>
        <v>0.13597883597883598</v>
      </c>
      <c r="IZ51" s="15">
        <v>0</v>
      </c>
      <c r="JA51" s="15">
        <f t="shared" ref="JA51" si="911">SUM(IL51:IN51,IP51,IR51)</f>
        <v>720</v>
      </c>
      <c r="JB51" s="46">
        <v>2056</v>
      </c>
      <c r="JC51" s="8">
        <v>21</v>
      </c>
    </row>
    <row r="52" spans="1:263" ht="15" x14ac:dyDescent="0.25">
      <c r="B52" s="95" t="s">
        <v>39</v>
      </c>
      <c r="C52" s="98">
        <f>SUM(C50:C51)</f>
        <v>1488</v>
      </c>
      <c r="D52" s="25">
        <f t="shared" ref="D52:E52" si="912">SUM(D50:D51)</f>
        <v>56</v>
      </c>
      <c r="E52" s="98">
        <f t="shared" si="912"/>
        <v>1432</v>
      </c>
      <c r="F52" s="25">
        <f t="shared" ref="F52:L52" si="913">SUM(F50:F51)</f>
        <v>0</v>
      </c>
      <c r="G52" s="78">
        <f>(G50*U50+G51*U51)/U52</f>
        <v>0</v>
      </c>
      <c r="H52" s="25">
        <f t="shared" si="913"/>
        <v>0</v>
      </c>
      <c r="I52" s="78">
        <f>(I50*U50+I51*U51)/U52</f>
        <v>0</v>
      </c>
      <c r="J52" s="26">
        <f>SUM(J50:J51)</f>
        <v>0</v>
      </c>
      <c r="K52" s="79">
        <f>(K50*U50+K51*U51)/U52</f>
        <v>0</v>
      </c>
      <c r="L52" s="25">
        <f t="shared" si="913"/>
        <v>0</v>
      </c>
      <c r="M52" s="78">
        <f>(M50*U50+M51*U51)/U52</f>
        <v>1</v>
      </c>
      <c r="N52" s="81">
        <f>(N50*U50+N51*U51)/U52</f>
        <v>1</v>
      </c>
      <c r="O52" s="81">
        <f>(O50*U50+O51*U51)/U52</f>
        <v>0</v>
      </c>
      <c r="P52" s="81">
        <f>(P50*U50+P51*U51)/U52</f>
        <v>0</v>
      </c>
      <c r="Q52" s="81">
        <f>(Q50*U50+Q51*U51)/U52</f>
        <v>3.2450076804915517E-2</v>
      </c>
      <c r="R52" s="29">
        <f t="shared" ref="R52" si="914">SUM(R50:R51)</f>
        <v>0</v>
      </c>
      <c r="S52" s="30">
        <f>SUM(S50:S51)</f>
        <v>1488</v>
      </c>
      <c r="T52" s="27">
        <f>SUM(T50:T51)</f>
        <v>1014</v>
      </c>
      <c r="U52" s="25">
        <f>SUM(U50:U51)</f>
        <v>42</v>
      </c>
      <c r="X52" s="87" t="s">
        <v>39</v>
      </c>
      <c r="Y52" s="29">
        <f>SUM(Y50:Y51)</f>
        <v>1488</v>
      </c>
      <c r="Z52" s="29">
        <f t="shared" ref="Z52:AB52" si="915">SUM(Z50:Z51)</f>
        <v>181.7</v>
      </c>
      <c r="AA52" s="29">
        <f>SUM(AA50:AA51)</f>
        <v>1306.3</v>
      </c>
      <c r="AB52" s="29">
        <f t="shared" si="915"/>
        <v>0</v>
      </c>
      <c r="AC52" s="79">
        <f>(AC50*AQ50+AC51*AQ51)/AQ52</f>
        <v>0</v>
      </c>
      <c r="AD52" s="29">
        <f t="shared" ref="AD52:AH52" si="916">SUM(AD50:AD51)</f>
        <v>0</v>
      </c>
      <c r="AE52" s="79">
        <f>(AE50*AQ50+AE51*AQ51)/AQ52</f>
        <v>0</v>
      </c>
      <c r="AF52" s="30">
        <f>SUM(AF50:AF51)</f>
        <v>0</v>
      </c>
      <c r="AG52" s="79">
        <f>SUM(AG50:AG51)</f>
        <v>0</v>
      </c>
      <c r="AH52" s="29">
        <f t="shared" si="916"/>
        <v>0</v>
      </c>
      <c r="AI52" s="78">
        <f>(AI50*AQ50+AI51*AQ51)/AQ52</f>
        <v>1</v>
      </c>
      <c r="AJ52" s="79">
        <f>(AJ50*AQ50+AJ51*AQ51)/AQ52</f>
        <v>1</v>
      </c>
      <c r="AK52" s="79">
        <f>(AK50*AQ50+AK51*AQ51)/AQ52</f>
        <v>0</v>
      </c>
      <c r="AL52" s="79"/>
      <c r="AM52" s="81">
        <f>(AM50*AQ50+AM51*AQ51)/AQ52</f>
        <v>0.10954301075268817</v>
      </c>
      <c r="AN52" s="29">
        <f t="shared" ref="AN52" si="917">SUM(AN50:AN51)</f>
        <v>0</v>
      </c>
      <c r="AO52" s="30">
        <f>SUM(AO50:AO51)</f>
        <v>1488</v>
      </c>
      <c r="AP52" s="33">
        <f>SUM(AP50:AP51)</f>
        <v>3423</v>
      </c>
      <c r="AQ52" s="29">
        <f>SUM(AQ50:AQ51)</f>
        <v>42</v>
      </c>
      <c r="AT52" s="87" t="s">
        <v>39</v>
      </c>
      <c r="AU52" s="33">
        <f>SUM(AU50:AU51)</f>
        <v>1440</v>
      </c>
      <c r="AV52" s="29">
        <f t="shared" ref="AV52:AX52" si="918">SUM(AV50:AV51)</f>
        <v>168</v>
      </c>
      <c r="AW52" s="33">
        <f>SUM(AW50:AW51)</f>
        <v>1272</v>
      </c>
      <c r="AX52" s="29">
        <f t="shared" si="918"/>
        <v>0</v>
      </c>
      <c r="AY52" s="30">
        <f>(AY50*BM50+AY51*BM51)/BM52</f>
        <v>0</v>
      </c>
      <c r="AZ52" s="29">
        <f t="shared" ref="AZ52:BD52" si="919">SUM(AZ50:AZ51)</f>
        <v>0</v>
      </c>
      <c r="BA52" s="30">
        <f>(BA50*BM50+BA51*BM51)/BM52</f>
        <v>0</v>
      </c>
      <c r="BB52" s="30">
        <f>SUM(BB50:BB51)</f>
        <v>0</v>
      </c>
      <c r="BC52" s="30">
        <f>(BC50*BM50+BC51*BM51)/BM52</f>
        <v>0</v>
      </c>
      <c r="BD52" s="29">
        <f t="shared" si="919"/>
        <v>0</v>
      </c>
      <c r="BE52" s="78">
        <f>(BE50*BM50+BE51*BM51)/BM52</f>
        <v>1</v>
      </c>
      <c r="BF52" s="79">
        <f>(BF50*BM50+BF51*BM51)/BM52</f>
        <v>1</v>
      </c>
      <c r="BG52" s="79">
        <f>(BG50*BM50+BG51*BM51)/BM52</f>
        <v>0</v>
      </c>
      <c r="BH52" s="79"/>
      <c r="BI52" s="81">
        <f>(BI50*BM50+BI51*BM51)/BM52</f>
        <v>0.10548941798941798</v>
      </c>
      <c r="BJ52" s="149"/>
      <c r="BK52" s="30">
        <f>SUM(BK50:BK51)</f>
        <v>1440</v>
      </c>
      <c r="BL52" s="33">
        <f>SUM(BL50:BL51)</f>
        <v>3190</v>
      </c>
      <c r="BM52" s="29">
        <f>SUM(BM50:BM51)</f>
        <v>42</v>
      </c>
      <c r="BP52" s="87" t="s">
        <v>39</v>
      </c>
      <c r="BQ52" s="29">
        <f>SUM(BQ50:BQ51)</f>
        <v>1488</v>
      </c>
      <c r="BR52" s="29">
        <f t="shared" ref="BR52:BT52" si="920">SUM(BR50:BR51)</f>
        <v>143.6</v>
      </c>
      <c r="BS52" s="29">
        <f>SUM(BS50:BS51)</f>
        <v>1344.4</v>
      </c>
      <c r="BT52" s="29">
        <f t="shared" si="920"/>
        <v>0</v>
      </c>
      <c r="BU52" s="79">
        <f>(BU50*CI50+BU51*CI51)/CI52</f>
        <v>0</v>
      </c>
      <c r="BV52" s="29">
        <f t="shared" ref="BV52:BZ52" si="921">SUM(BV50:BV51)</f>
        <v>0</v>
      </c>
      <c r="BW52" s="79">
        <f>(BW50*CI50+BW51*CI51)/CI52</f>
        <v>0</v>
      </c>
      <c r="BX52" s="30">
        <f>SUM(BX50:BX51)</f>
        <v>0</v>
      </c>
      <c r="BY52" s="79">
        <f>(BY50*CI50+BY51*CI51)/CI52</f>
        <v>0</v>
      </c>
      <c r="BZ52" s="29">
        <f t="shared" si="921"/>
        <v>0</v>
      </c>
      <c r="CA52" s="78">
        <f>(CA50*CI50+CA51*CI51)/CI52</f>
        <v>1</v>
      </c>
      <c r="CB52" s="79">
        <f>(CB50*CI50+CB51*CI51)/CI52</f>
        <v>1</v>
      </c>
      <c r="CC52" s="79">
        <f>(CC50*CI50+CC51*CI51)/CI52</f>
        <v>0</v>
      </c>
      <c r="CD52" s="79"/>
      <c r="CE52" s="81">
        <f>(CE50*CI50+CE51*CI51)/CI52</f>
        <v>8.7813620071684584E-2</v>
      </c>
      <c r="CF52" s="149"/>
      <c r="CG52" s="33">
        <f>SUM(CG50:CG51)</f>
        <v>1488</v>
      </c>
      <c r="CH52" s="33">
        <f>SUM(CH50:CH51)</f>
        <v>2744</v>
      </c>
      <c r="CI52" s="29">
        <f>SUM(CI50:CI51)</f>
        <v>42</v>
      </c>
      <c r="CL52" s="87" t="s">
        <v>39</v>
      </c>
      <c r="CM52" s="29">
        <f>SUM(CM50:CM51)</f>
        <v>1440</v>
      </c>
      <c r="CN52" s="29">
        <f t="shared" ref="CN52:CP52" si="922">SUM(CN50:CN51)</f>
        <v>35.599999999999994</v>
      </c>
      <c r="CO52" s="29">
        <f>SUM(CO50:CO51)</f>
        <v>1404.4</v>
      </c>
      <c r="CP52" s="29">
        <f t="shared" si="922"/>
        <v>0</v>
      </c>
      <c r="CQ52" s="79">
        <f>(CQ50*DE50+CQ51*DE51)/DE52</f>
        <v>0</v>
      </c>
      <c r="CR52" s="29">
        <f t="shared" ref="CR52:CV52" si="923">SUM(CR50:CR51)</f>
        <v>0</v>
      </c>
      <c r="CS52" s="79">
        <f>(CS50*DE50+CS51*DE51)/DE52</f>
        <v>0</v>
      </c>
      <c r="CT52" s="30">
        <f>SUM(CT50:CT51)</f>
        <v>0</v>
      </c>
      <c r="CU52" s="78">
        <f>(CU50*DE50+CU51*DE51)/DE52</f>
        <v>0</v>
      </c>
      <c r="CV52" s="29">
        <f t="shared" si="923"/>
        <v>0</v>
      </c>
      <c r="CW52" s="78">
        <f>(CW50*DE50+CW51*DE51)/DE52</f>
        <v>1</v>
      </c>
      <c r="CX52" s="79">
        <f>(CX50*DE50+CX51*DE51)/DE52</f>
        <v>1</v>
      </c>
      <c r="CY52" s="79">
        <f>(CY50*DE50+CY51*DE51)/DE52</f>
        <v>0</v>
      </c>
      <c r="CZ52" s="79"/>
      <c r="DA52" s="81">
        <f>(DA50*DE50+DA51*DE51)/DE52</f>
        <v>2.2123015873015874E-2</v>
      </c>
      <c r="DB52" s="149"/>
      <c r="DC52" s="30">
        <f>SUM(DC50:DC51)</f>
        <v>1440</v>
      </c>
      <c r="DD52" s="29">
        <f>SUM(DD50:DD51)</f>
        <v>669</v>
      </c>
      <c r="DE52" s="29">
        <f>SUM(DE50:DE51)</f>
        <v>42</v>
      </c>
      <c r="DH52" s="87" t="s">
        <v>39</v>
      </c>
      <c r="DI52" s="33">
        <f>SUM(DI50:DI51)</f>
        <v>1488</v>
      </c>
      <c r="DJ52" s="29">
        <f t="shared" ref="DJ52:DL52" si="924">SUM(DJ50:DJ51)</f>
        <v>68.8</v>
      </c>
      <c r="DK52" s="47">
        <f>SUM(DK50:DK51)</f>
        <v>1419.2</v>
      </c>
      <c r="DL52" s="29">
        <f t="shared" si="924"/>
        <v>0</v>
      </c>
      <c r="DM52" s="79">
        <f>(DM50*EA50+DM51*EA51)/EA52</f>
        <v>0</v>
      </c>
      <c r="DN52" s="29">
        <f t="shared" ref="DN52:DR52" si="925">SUM(DN50:DN51)</f>
        <v>0</v>
      </c>
      <c r="DO52" s="79">
        <f>(DO50*EA50+DO51*EA51)/EA52</f>
        <v>0</v>
      </c>
      <c r="DP52" s="30">
        <f>SUM(DP50:DP51)</f>
        <v>0</v>
      </c>
      <c r="DQ52" s="79">
        <f>(DQ50*EA50+DQ51*EA51)/EA52</f>
        <v>0</v>
      </c>
      <c r="DR52" s="29">
        <f t="shared" si="925"/>
        <v>0</v>
      </c>
      <c r="DS52" s="78">
        <f>(DS50*EA50+DS51*EA51)/EA52</f>
        <v>1</v>
      </c>
      <c r="DT52" s="79">
        <f>(DT50*EA50+DT51*EA51)/EA52</f>
        <v>1</v>
      </c>
      <c r="DU52" s="79">
        <f>(DU50*EA50+DU51*EA51)/EA52</f>
        <v>0</v>
      </c>
      <c r="DV52" s="79">
        <f>(DV50*EA50+DV51*EA51)/EA52</f>
        <v>0</v>
      </c>
      <c r="DW52" s="81">
        <f>(DW50*EA50+DW51*EA51)/EA52</f>
        <v>3.9970558115719403E-2</v>
      </c>
      <c r="DX52" s="149"/>
      <c r="DY52" s="31">
        <f>SUM(DY50:DY51)</f>
        <v>1488</v>
      </c>
      <c r="DZ52" s="33">
        <f>SUM(DZ50:DZ51)</f>
        <v>1249</v>
      </c>
      <c r="EA52" s="29">
        <f>SUM(EA50:EA51)</f>
        <v>42</v>
      </c>
      <c r="ED52" s="87" t="s">
        <v>39</v>
      </c>
      <c r="EE52" s="29">
        <f>SUM(EE50:EE51)</f>
        <v>1488</v>
      </c>
      <c r="EF52" s="29">
        <f t="shared" ref="EF52:EH52" si="926">SUM(EF50:EF51)</f>
        <v>174.2</v>
      </c>
      <c r="EG52" s="29">
        <f>SUM(EG50:EG51)</f>
        <v>1313.8</v>
      </c>
      <c r="EH52" s="29">
        <f t="shared" si="926"/>
        <v>0</v>
      </c>
      <c r="EI52" s="79">
        <f>(EI50*EW50+EI51*EW51)/EW52</f>
        <v>0</v>
      </c>
      <c r="EJ52" s="29">
        <f t="shared" ref="EJ52:EN52" si="927">SUM(EJ50:EJ51)</f>
        <v>0</v>
      </c>
      <c r="EK52" s="79">
        <f>(EK50*EW50+EK51*EW51)/EW52</f>
        <v>0</v>
      </c>
      <c r="EL52" s="30">
        <f>SUM(EL50:EL51)</f>
        <v>0</v>
      </c>
      <c r="EM52" s="79">
        <f>(EM50*EW50+EM51*EW51)/EW52</f>
        <v>0</v>
      </c>
      <c r="EN52" s="29">
        <f t="shared" si="927"/>
        <v>0</v>
      </c>
      <c r="EO52" s="78">
        <f>(EO50*EW50+EO51*EW51)/EW52</f>
        <v>1</v>
      </c>
      <c r="EP52" s="79">
        <f>(EP50*EW50+EP51*EW51)/EW52</f>
        <v>1</v>
      </c>
      <c r="EQ52" s="79">
        <f>(EQ50*EW50+EQ51*EW51)/EW52</f>
        <v>0</v>
      </c>
      <c r="ER52" s="79"/>
      <c r="ES52" s="81">
        <f>(ES50*EW50+ES51*EW51)/EW52</f>
        <v>10.455069124423963</v>
      </c>
      <c r="ET52" s="18"/>
      <c r="EU52" s="30">
        <f>SUM(EU50:EU51)</f>
        <v>1488</v>
      </c>
      <c r="EV52" s="33">
        <f>SUM(EV50:EV51)</f>
        <v>3267</v>
      </c>
      <c r="EW52" s="29">
        <f>SUM(EW50:EW51)</f>
        <v>42</v>
      </c>
      <c r="EZ52" s="95" t="s">
        <v>39</v>
      </c>
      <c r="FA52" s="29">
        <f>SUM(FA50:FA51)</f>
        <v>1344</v>
      </c>
      <c r="FB52" s="29">
        <f t="shared" ref="FB52:FD52" si="928">SUM(FB50:FB51)</f>
        <v>174</v>
      </c>
      <c r="FC52" s="29">
        <f>SUM(FC50:FC51)</f>
        <v>1170</v>
      </c>
      <c r="FD52" s="29">
        <f t="shared" si="928"/>
        <v>0</v>
      </c>
      <c r="FE52" s="79">
        <f>(FE50*FS50+FE51*FS51)/FS52</f>
        <v>0</v>
      </c>
      <c r="FF52" s="29">
        <f t="shared" ref="FF52:FJ52" si="929">SUM(FF50:FF51)</f>
        <v>0</v>
      </c>
      <c r="FG52" s="79">
        <f>(FG50*FS50+FG51*FS51)/FS52</f>
        <v>0</v>
      </c>
      <c r="FH52" s="30">
        <f>SUM(FH50:FH51)</f>
        <v>0</v>
      </c>
      <c r="FI52" s="79">
        <f>(FI50*FS50+FI51*FS51)/FS52</f>
        <v>0</v>
      </c>
      <c r="FJ52" s="29">
        <f t="shared" si="929"/>
        <v>0</v>
      </c>
      <c r="FK52" s="78">
        <f>(FK50*FS50+FK51*FS51)/FS52</f>
        <v>0.90322580645161299</v>
      </c>
      <c r="FL52" s="79">
        <f>(FL50*FS50+FL51*FS51)/FS52</f>
        <v>1</v>
      </c>
      <c r="FM52" s="79">
        <f>(FM50*FS50+FM51*FS51)/FS52</f>
        <v>0</v>
      </c>
      <c r="FN52" s="79"/>
      <c r="FO52" s="81">
        <f>(FO50*FS50+FO51*FS51)/FS52</f>
        <v>0.11376842403628119</v>
      </c>
      <c r="FP52" s="149"/>
      <c r="FQ52" s="30">
        <f>SUM(FQ50:FQ51)</f>
        <v>1344</v>
      </c>
      <c r="FR52" s="33">
        <f>SUM(FR50:FR51)</f>
        <v>3211</v>
      </c>
      <c r="FS52" s="29">
        <f>SUM(FS50:FS51)</f>
        <v>42</v>
      </c>
      <c r="FV52" s="87" t="s">
        <v>39</v>
      </c>
      <c r="FW52" s="29">
        <f>SUM(FW50:FW51)</f>
        <v>1488</v>
      </c>
      <c r="FX52" s="29">
        <f t="shared" ref="FX52:FZ52" si="930">SUM(FX50:FX51)</f>
        <v>346.9</v>
      </c>
      <c r="FY52" s="29">
        <f>SUM(FY50:FY51)</f>
        <v>1141.0999999999999</v>
      </c>
      <c r="FZ52" s="29">
        <f t="shared" si="930"/>
        <v>0</v>
      </c>
      <c r="GA52" s="79">
        <f>(GA50*GO50+GA51*GO51)/GO52</f>
        <v>0</v>
      </c>
      <c r="GB52" s="29">
        <f t="shared" ref="GB52:GF52" si="931">SUM(GB50:GB51)</f>
        <v>0</v>
      </c>
      <c r="GC52" s="79">
        <f>(GC50*GO50+GC51*GO51)/GO52</f>
        <v>0</v>
      </c>
      <c r="GD52" s="30">
        <f>SUM(GD50:GD51)</f>
        <v>0</v>
      </c>
      <c r="GE52" s="79">
        <f>(GE50*GO50+GE51*GO51)/GO52</f>
        <v>0</v>
      </c>
      <c r="GF52" s="29">
        <f t="shared" si="931"/>
        <v>0</v>
      </c>
      <c r="GG52" s="78">
        <f>(GG50*GO50+GG51*GO51)/GO52</f>
        <v>1</v>
      </c>
      <c r="GH52" s="79">
        <f>(GH50*GO50+GH51*GO51)/GO52</f>
        <v>1</v>
      </c>
      <c r="GI52" s="79">
        <f>(GI50*GO50+GI51*GO51)/GO52</f>
        <v>0</v>
      </c>
      <c r="GJ52" s="79">
        <f>(GJ50*GO50+GJ51*GO51)/GO52</f>
        <v>0</v>
      </c>
      <c r="GK52" s="81">
        <f>(GK50*GO50+GK51*GO51)/GO52</f>
        <v>0.20599718381976448</v>
      </c>
      <c r="GL52" s="149"/>
      <c r="GM52" s="30">
        <f>SUM(GM50:GM51)</f>
        <v>1488</v>
      </c>
      <c r="GN52" s="89">
        <f>SUM(GN50:GN51)</f>
        <v>6437</v>
      </c>
      <c r="GO52" s="29">
        <f>SUM(GO50:GO51)</f>
        <v>42</v>
      </c>
      <c r="GR52" s="95" t="s">
        <v>39</v>
      </c>
      <c r="GS52" s="48">
        <f>SUM(GS50:GS51)</f>
        <v>1440</v>
      </c>
      <c r="GT52" s="48">
        <f t="shared" ref="GT52:GV52" si="932">SUM(GT50:GT51)</f>
        <v>427.1</v>
      </c>
      <c r="GU52" s="48">
        <f>SUM(GU50:GU51)</f>
        <v>1012.9000000000001</v>
      </c>
      <c r="GV52" s="48">
        <f t="shared" si="932"/>
        <v>0</v>
      </c>
      <c r="GW52" s="118">
        <f>(GW50*HK50+GW51*HK51)/HK52</f>
        <v>0</v>
      </c>
      <c r="GX52" s="48">
        <f t="shared" ref="GX52:HB52" si="933">SUM(GX50:GX51)</f>
        <v>0</v>
      </c>
      <c r="GY52" s="118">
        <f>(GY50*HK50+GY51*HK51)/HK52</f>
        <v>0</v>
      </c>
      <c r="GZ52" s="120">
        <f>SUM(GZ50:GZ51)</f>
        <v>0</v>
      </c>
      <c r="HA52" s="116">
        <f>(HA50*HK50+HA51*HK51)/HK52</f>
        <v>0</v>
      </c>
      <c r="HB52" s="48">
        <f t="shared" si="933"/>
        <v>0</v>
      </c>
      <c r="HC52" s="116">
        <f>(HC50*HK50+HC51*HK51)/HK52</f>
        <v>0.967741935483871</v>
      </c>
      <c r="HD52" s="118">
        <f>(HD50*HK50+HD51*HK51)/HK52</f>
        <v>1</v>
      </c>
      <c r="HE52" s="118">
        <f>(HE50*HK50+HE51*HK51)/HK52</f>
        <v>0</v>
      </c>
      <c r="HF52" s="118">
        <f>(HF50*HK50+HF51*HK51)/HK52</f>
        <v>0</v>
      </c>
      <c r="HG52" s="119">
        <f>(HG50*HK50+HG51*HK51)/HK52</f>
        <v>0.32298657407407405</v>
      </c>
      <c r="HH52" s="48">
        <f t="shared" ref="HH52" si="934">SUM(HH50:HH51)</f>
        <v>0</v>
      </c>
      <c r="HI52" s="120">
        <f>SUM(HI50:HI51)</f>
        <v>1440</v>
      </c>
      <c r="HJ52" s="124">
        <f>SUM(HJ50:HJ51)</f>
        <v>9767.1139999999996</v>
      </c>
      <c r="HK52" s="48">
        <f>SUM(HK50:HK51)</f>
        <v>42</v>
      </c>
      <c r="HN52" s="87" t="s">
        <v>39</v>
      </c>
      <c r="HO52" s="29">
        <f>SUM(HO50:HO51)</f>
        <v>1488</v>
      </c>
      <c r="HP52" s="29">
        <f t="shared" ref="HP52:HR52" si="935">SUM(HP50:HP51)</f>
        <v>176.89999999999998</v>
      </c>
      <c r="HQ52" s="29">
        <f>SUM(HQ50:HQ51)</f>
        <v>1311.1</v>
      </c>
      <c r="HR52" s="29">
        <f t="shared" si="935"/>
        <v>0</v>
      </c>
      <c r="HS52" s="79">
        <f>(HS50*IG50+HS51*IG51)/IG52</f>
        <v>0</v>
      </c>
      <c r="HT52" s="29">
        <f t="shared" ref="HT52:HX52" si="936">SUM(HT50:HT51)</f>
        <v>0</v>
      </c>
      <c r="HU52" s="79">
        <f>(HU50*IG50+HU51*IG51)/IG52</f>
        <v>0</v>
      </c>
      <c r="HV52" s="30">
        <f>SUM(HV50:HV51)</f>
        <v>0</v>
      </c>
      <c r="HW52" s="78">
        <f>(HW50*IG50+HW51*IG51)/IG52</f>
        <v>0</v>
      </c>
      <c r="HX52" s="29">
        <f t="shared" si="936"/>
        <v>0</v>
      </c>
      <c r="HY52" s="78">
        <f>(HY50*IG50+HY51*IG51)/IG52</f>
        <v>1</v>
      </c>
      <c r="HZ52" s="79">
        <f>(HZ50*IG50+HZ51*IG51)/IG52</f>
        <v>1</v>
      </c>
      <c r="IA52" s="79">
        <f>(IA50*IG50+IA51*IG51)/IG52</f>
        <v>0</v>
      </c>
      <c r="IB52" s="79">
        <f>(IB50*IG50+IB51*IG51)/IG52</f>
        <v>0</v>
      </c>
      <c r="IC52" s="81">
        <f>(IC50*IG50+IC51*IG51)/IG52</f>
        <v>0.10151049667178699</v>
      </c>
      <c r="ID52" s="29">
        <f t="shared" ref="ID52" si="937">SUM(ID50:ID51)</f>
        <v>0</v>
      </c>
      <c r="IE52" s="30">
        <f>SUM(IE50:IE51)</f>
        <v>1488</v>
      </c>
      <c r="IF52" s="33">
        <f>SUM(IF50:IF51)</f>
        <v>3172</v>
      </c>
      <c r="IG52" s="29">
        <f>SUM(IG50:IG51)</f>
        <v>42</v>
      </c>
      <c r="IJ52" s="87" t="s">
        <v>84</v>
      </c>
      <c r="IK52" s="90">
        <f>SUM(IK50:IK51)</f>
        <v>1440</v>
      </c>
      <c r="IL52" s="90">
        <f t="shared" ref="IL52" si="938">SUM(IL50:IL51)</f>
        <v>300</v>
      </c>
      <c r="IM52" s="90">
        <f>SUM(IM50:IM51)</f>
        <v>1140</v>
      </c>
      <c r="IN52" s="90">
        <f t="shared" ref="IN52" si="939">SUM(IN50:IN51)</f>
        <v>0</v>
      </c>
      <c r="IO52" s="78">
        <f>(IO50*JC50+IO51*JC51)/JC52</f>
        <v>0</v>
      </c>
      <c r="IP52" s="29">
        <f>SUM(IP50:IP51)</f>
        <v>0</v>
      </c>
      <c r="IQ52" s="78">
        <f>(IQ50*JC50+IQ51*JC51)/JC52</f>
        <v>0</v>
      </c>
      <c r="IR52" s="29">
        <f>SUM(IR50:IR51)</f>
        <v>0</v>
      </c>
      <c r="IS52" s="78">
        <f>(IS50*JC50+IS51*JC51)/JC52</f>
        <v>0</v>
      </c>
      <c r="IT52" s="29">
        <f>SUM(IT50:IT51)</f>
        <v>0</v>
      </c>
      <c r="IU52" s="79">
        <f>(IU50*JC50+IU51*JC51)/JC52</f>
        <v>1</v>
      </c>
      <c r="IV52" s="80">
        <f>(IV50*JC50+IV51*JC51)/JC52</f>
        <v>1</v>
      </c>
      <c r="IW52" s="80">
        <f>(IW50*JC50+IW51*JC51)/JC52</f>
        <v>0</v>
      </c>
      <c r="IX52" s="80">
        <f>(IX50*JC50+IX51*JC51)/JC52</f>
        <v>0</v>
      </c>
      <c r="IY52" s="80">
        <f>(IY50*JC50+IY51*JC51)/JC52</f>
        <v>0.1761904761904762</v>
      </c>
      <c r="IZ52" s="29">
        <f>SUM(IZ50:IZ51)</f>
        <v>0</v>
      </c>
      <c r="JA52" s="33">
        <f>SUM(JA50:JA51)</f>
        <v>1440</v>
      </c>
      <c r="JB52" s="47">
        <f>SUM(JB50:JB51)</f>
        <v>5328</v>
      </c>
      <c r="JC52" s="29">
        <f>SUM(JC50:JC51)</f>
        <v>42</v>
      </c>
    </row>
    <row r="53" spans="1:263" ht="15" x14ac:dyDescent="0.2">
      <c r="A53" s="74" t="s">
        <v>59</v>
      </c>
      <c r="B53" s="37" t="s">
        <v>60</v>
      </c>
      <c r="C53" s="8">
        <v>744</v>
      </c>
      <c r="D53" s="8">
        <v>21.3</v>
      </c>
      <c r="E53" s="8">
        <v>722.7</v>
      </c>
      <c r="F53" s="8">
        <v>0</v>
      </c>
      <c r="G53" s="6">
        <f>(F53/$B$4)</f>
        <v>0</v>
      </c>
      <c r="H53" s="8">
        <v>0</v>
      </c>
      <c r="I53" s="6">
        <f>(H53/$B$4)</f>
        <v>0</v>
      </c>
      <c r="J53" s="6">
        <v>0</v>
      </c>
      <c r="K53" s="6">
        <f>(J53/$B$4)</f>
        <v>0</v>
      </c>
      <c r="L53" s="8">
        <v>0</v>
      </c>
      <c r="M53" s="69">
        <f>(C53/$B$4)</f>
        <v>1</v>
      </c>
      <c r="N53" s="69">
        <f>((C53-L53)/$B$4)</f>
        <v>1</v>
      </c>
      <c r="O53" s="69">
        <f>IF((AND(D53=0,F53=0)),0,(F53+L53)/(D53+F53+L53))</f>
        <v>0</v>
      </c>
      <c r="P53" s="149">
        <f>L53/$B$4</f>
        <v>0</v>
      </c>
      <c r="Q53" s="69">
        <f>(T53/($B$4*U53))</f>
        <v>1.7771804062126643E-2</v>
      </c>
      <c r="R53" s="15">
        <v>0</v>
      </c>
      <c r="S53" s="6">
        <f>SUM(D53:F53,H53,J53)</f>
        <v>744</v>
      </c>
      <c r="T53" s="8">
        <v>357</v>
      </c>
      <c r="U53" s="8">
        <v>27</v>
      </c>
      <c r="W53" s="74" t="s">
        <v>59</v>
      </c>
      <c r="X53" s="37" t="s">
        <v>60</v>
      </c>
      <c r="Y53" s="41">
        <v>744</v>
      </c>
      <c r="Z53" s="41">
        <v>226.1</v>
      </c>
      <c r="AA53" s="41">
        <v>517.9</v>
      </c>
      <c r="AB53" s="8">
        <v>0</v>
      </c>
      <c r="AC53" s="6">
        <f>(AB53/$X$4)</f>
        <v>0</v>
      </c>
      <c r="AD53" s="8">
        <v>0</v>
      </c>
      <c r="AE53" s="6">
        <f>(AD53/$X$4)</f>
        <v>0</v>
      </c>
      <c r="AF53" s="6">
        <v>0</v>
      </c>
      <c r="AG53" s="6">
        <f>(AF53/$X$4)</f>
        <v>0</v>
      </c>
      <c r="AH53" s="8">
        <v>0</v>
      </c>
      <c r="AI53" s="69">
        <f>(Y53/$X$4)</f>
        <v>1</v>
      </c>
      <c r="AJ53" s="69">
        <f>((Y53-AH53)/$X$4)</f>
        <v>1</v>
      </c>
      <c r="AK53" s="149">
        <f>IF((AND(Z53=0,AB53=0)),0,(AB53+AH53)/(Z53+AB53+AH53))</f>
        <v>0</v>
      </c>
      <c r="AL53" s="149">
        <f>AH53/$X$4</f>
        <v>0</v>
      </c>
      <c r="AM53" s="69">
        <f>(AP53/($X$4*AQ53))</f>
        <v>0.2961469534050179</v>
      </c>
      <c r="AN53" s="15">
        <v>0</v>
      </c>
      <c r="AO53" s="6">
        <f>SUM(Z53:AB53,AD53,AF53)</f>
        <v>744</v>
      </c>
      <c r="AP53" s="19">
        <v>5949</v>
      </c>
      <c r="AQ53" s="8">
        <v>27</v>
      </c>
      <c r="AS53" s="74" t="s">
        <v>59</v>
      </c>
      <c r="AT53" s="37" t="s">
        <v>60</v>
      </c>
      <c r="AU53" s="8">
        <v>720</v>
      </c>
      <c r="AV53" s="8">
        <v>192.3</v>
      </c>
      <c r="AW53" s="8">
        <v>527.70000000000005</v>
      </c>
      <c r="AX53" s="8">
        <v>0</v>
      </c>
      <c r="AY53" s="6">
        <f>(AX53/$AT$4)</f>
        <v>0</v>
      </c>
      <c r="AZ53" s="8">
        <v>0</v>
      </c>
      <c r="BA53" s="6">
        <f>(AZ53/$AT$4)</f>
        <v>0</v>
      </c>
      <c r="BB53" s="6">
        <v>0</v>
      </c>
      <c r="BC53" s="6">
        <f>(BB53/$AT$4)</f>
        <v>0</v>
      </c>
      <c r="BD53" s="8">
        <v>0</v>
      </c>
      <c r="BE53" s="69">
        <f>(AU53/$AT$4)</f>
        <v>1</v>
      </c>
      <c r="BF53" s="69">
        <f>((AU53-BD53)/$AT$4)</f>
        <v>1</v>
      </c>
      <c r="BG53" s="69">
        <f>IF((AND(AV53=0,AX53=0)),0,(AX53+BD53)/(AV53+AX53+BD53))</f>
        <v>0</v>
      </c>
      <c r="BH53" s="149">
        <f>BD53/$AT$4</f>
        <v>0</v>
      </c>
      <c r="BI53" s="69">
        <f>(BL53/($AT$4*BM53))</f>
        <v>0.25720164609053497</v>
      </c>
      <c r="BJ53" s="6"/>
      <c r="BK53" s="6">
        <f>SUM(AV53:AX53,AZ53,BB53)</f>
        <v>720</v>
      </c>
      <c r="BL53" s="19">
        <v>5000</v>
      </c>
      <c r="BM53" s="8">
        <v>27</v>
      </c>
      <c r="BO53" s="74" t="s">
        <v>59</v>
      </c>
      <c r="BP53" s="37" t="s">
        <v>60</v>
      </c>
      <c r="BQ53" s="17">
        <v>744</v>
      </c>
      <c r="BR53" s="17">
        <v>188.1</v>
      </c>
      <c r="BS53" s="17">
        <v>555.9</v>
      </c>
      <c r="BT53" s="8">
        <v>0</v>
      </c>
      <c r="BU53" s="6">
        <f>(BT53/$BP$4)</f>
        <v>0</v>
      </c>
      <c r="BV53" s="8">
        <v>0</v>
      </c>
      <c r="BW53" s="6">
        <f>(BV53/$BP$4)</f>
        <v>0</v>
      </c>
      <c r="BX53" s="6">
        <v>0</v>
      </c>
      <c r="BY53" s="6">
        <f>(BX53/$BP$4)</f>
        <v>0</v>
      </c>
      <c r="BZ53" s="8">
        <v>0</v>
      </c>
      <c r="CA53" s="69">
        <f>(BQ53/$BP$4)</f>
        <v>1</v>
      </c>
      <c r="CB53" s="69">
        <f>((BQ53-BZ53)/$BP$4)</f>
        <v>1</v>
      </c>
      <c r="CC53" s="149">
        <f>IF((AND(BR53=0,BT53=0)),0,(BT53+BZ53)/(BR53+BT53+BZ53))</f>
        <v>0</v>
      </c>
      <c r="CD53" s="149">
        <f>BZ53/$BP$4</f>
        <v>0</v>
      </c>
      <c r="CE53" s="69">
        <f>(CH53/($BP$4*CI53))</f>
        <v>0.22466148944643569</v>
      </c>
      <c r="CF53" s="69"/>
      <c r="CG53" s="42">
        <f>SUM(BR53:BT53,BV53,BX53)</f>
        <v>744</v>
      </c>
      <c r="CH53" s="19">
        <v>4513</v>
      </c>
      <c r="CI53" s="8">
        <v>27</v>
      </c>
      <c r="CK53" s="74" t="s">
        <v>59</v>
      </c>
      <c r="CL53" s="37" t="s">
        <v>60</v>
      </c>
      <c r="CM53" s="41">
        <v>720</v>
      </c>
      <c r="CN53" s="41">
        <v>66.72</v>
      </c>
      <c r="CO53" s="41">
        <v>653.28</v>
      </c>
      <c r="CP53" s="41">
        <v>0</v>
      </c>
      <c r="CQ53" s="6">
        <f>(CP53/$CL$4)</f>
        <v>0</v>
      </c>
      <c r="CR53" s="8">
        <v>0</v>
      </c>
      <c r="CS53" s="6">
        <f>(CR53/$CL$4)</f>
        <v>0</v>
      </c>
      <c r="CT53" s="6">
        <v>0</v>
      </c>
      <c r="CU53" s="6">
        <f>(CT53/$CL$4)</f>
        <v>0</v>
      </c>
      <c r="CV53" s="8">
        <v>0</v>
      </c>
      <c r="CW53" s="69">
        <f>(CM53/$CL$4)</f>
        <v>1</v>
      </c>
      <c r="CX53" s="69">
        <f>((CM53-CV53)/$CL$4)</f>
        <v>1</v>
      </c>
      <c r="CY53" s="149">
        <f>IF((AND(CN53=0,CP53=0)),0,(CP53+CV53)/(CN53+CP53+CV53))</f>
        <v>0</v>
      </c>
      <c r="CZ53" s="149">
        <f>CV53/$CL$4</f>
        <v>0</v>
      </c>
      <c r="DA53" s="69">
        <f>(DD53/($CL$4*DE53))</f>
        <v>8.4927983539094656E-2</v>
      </c>
      <c r="DB53" s="6"/>
      <c r="DC53" s="6">
        <f>SUM(CN53:CP53,CR53,CT53)</f>
        <v>720</v>
      </c>
      <c r="DD53" s="42">
        <v>1651</v>
      </c>
      <c r="DE53" s="8">
        <v>27</v>
      </c>
      <c r="DG53" s="74" t="s">
        <v>59</v>
      </c>
      <c r="DH53" s="37" t="s">
        <v>60</v>
      </c>
      <c r="DI53" s="8">
        <v>744</v>
      </c>
      <c r="DJ53" s="8">
        <v>100.28</v>
      </c>
      <c r="DK53" s="8">
        <v>643.72</v>
      </c>
      <c r="DL53" s="8">
        <v>0</v>
      </c>
      <c r="DM53" s="69">
        <f>(DL53/$DH$4)</f>
        <v>0</v>
      </c>
      <c r="DN53" s="8">
        <v>0</v>
      </c>
      <c r="DO53" s="69">
        <f>(DN53/$DH$4)</f>
        <v>0</v>
      </c>
      <c r="DP53" s="6">
        <v>0</v>
      </c>
      <c r="DQ53" s="69">
        <f>(DP53/$DH$4)</f>
        <v>0</v>
      </c>
      <c r="DR53" s="8">
        <v>0</v>
      </c>
      <c r="DS53" s="69">
        <f>(DI53/$X$4)</f>
        <v>1</v>
      </c>
      <c r="DT53" s="69">
        <f>((DI53-DR53)/$DH$4)</f>
        <v>1</v>
      </c>
      <c r="DU53" s="149">
        <f>IF((AND(DJ53=0,DL53=0)),0,(DL53+DR53)/(DJ53+DL53+DR53))</f>
        <v>0</v>
      </c>
      <c r="DV53" s="149">
        <f>DR53/$DH$4</f>
        <v>0</v>
      </c>
      <c r="DW53" s="69">
        <f>(DZ53/($DH$4*EA53))</f>
        <v>0.12564715252887296</v>
      </c>
      <c r="DX53" s="69"/>
      <c r="DY53" s="15">
        <f>SUM(DJ53:DL53,DN53,DP53)</f>
        <v>744</v>
      </c>
      <c r="DZ53" s="38">
        <v>2524</v>
      </c>
      <c r="EA53" s="8">
        <v>27</v>
      </c>
      <c r="EC53" s="74" t="s">
        <v>59</v>
      </c>
      <c r="ED53" s="37" t="s">
        <v>60</v>
      </c>
      <c r="EE53" s="8">
        <v>378</v>
      </c>
      <c r="EF53" s="8">
        <v>33.5</v>
      </c>
      <c r="EG53" s="8">
        <v>344.5</v>
      </c>
      <c r="EH53" s="8">
        <v>366</v>
      </c>
      <c r="EI53" s="6">
        <f>(EH53/$ED$4)</f>
        <v>0.49193548387096775</v>
      </c>
      <c r="EJ53" s="8">
        <v>0</v>
      </c>
      <c r="EK53" s="6">
        <f>(EJ53/$ED$4)</f>
        <v>0</v>
      </c>
      <c r="EL53" s="6">
        <v>0</v>
      </c>
      <c r="EM53" s="6">
        <f>(EL53/$ED$4)</f>
        <v>0</v>
      </c>
      <c r="EN53" s="8">
        <v>0</v>
      </c>
      <c r="EO53" s="69">
        <f>(EE53/$X$4)</f>
        <v>0.50806451612903225</v>
      </c>
      <c r="EP53" s="69">
        <f>((EE53-EN53)/$ED$4)</f>
        <v>0.50806451612903225</v>
      </c>
      <c r="EQ53" s="149">
        <f>IF((AND(EF53=0,EH53=0)),0,(EH53+EN53)/(EF53+EH53))</f>
        <v>0.91614518147684609</v>
      </c>
      <c r="ER53" s="149"/>
      <c r="ES53" s="69">
        <f>(EV53/($ED$4*EW53))*100</f>
        <v>4.3707686180804455</v>
      </c>
      <c r="ET53" s="6"/>
      <c r="EU53" s="6">
        <f>SUM(EF53:EH53,EJ53,EL53)</f>
        <v>744</v>
      </c>
      <c r="EV53" s="8">
        <v>878</v>
      </c>
      <c r="EW53" s="8">
        <v>27</v>
      </c>
      <c r="EY53" s="74" t="s">
        <v>59</v>
      </c>
      <c r="EZ53" s="37" t="s">
        <v>60</v>
      </c>
      <c r="FA53" s="8">
        <v>624</v>
      </c>
      <c r="FB53" s="8">
        <v>84.6</v>
      </c>
      <c r="FC53" s="8">
        <v>539.4</v>
      </c>
      <c r="FD53" s="8">
        <v>48</v>
      </c>
      <c r="FE53" s="6">
        <f>(FD53/$EZ$4)</f>
        <v>7.1428571428571425E-2</v>
      </c>
      <c r="FF53" s="8">
        <v>0</v>
      </c>
      <c r="FG53" s="6">
        <f>(FF53/$EZ$4)</f>
        <v>0</v>
      </c>
      <c r="FH53" s="6">
        <v>0</v>
      </c>
      <c r="FI53" s="6">
        <f>(FH53/$EZ$4)</f>
        <v>0</v>
      </c>
      <c r="FJ53" s="8">
        <v>0</v>
      </c>
      <c r="FK53" s="69">
        <f>(FA53/$X$4)</f>
        <v>0.83870967741935487</v>
      </c>
      <c r="FL53" s="69">
        <f>((FA53-FJ53)/$EZ$4)</f>
        <v>0.9285714285714286</v>
      </c>
      <c r="FM53" s="149">
        <f>IF((AND(FB53=0,FD53=0)),0,(FD53+FJ53)/(FB53+FD53+FJ53))</f>
        <v>0.36199095022624433</v>
      </c>
      <c r="FN53" s="149">
        <f>FJ53/$EZ$4</f>
        <v>0</v>
      </c>
      <c r="FO53" s="69">
        <f>(FR53/($EZ$4*FS53))</f>
        <v>0.12422839506172839</v>
      </c>
      <c r="FP53" s="6"/>
      <c r="FQ53" s="6">
        <f>SUM(FB53:FD53,FF53,FH53)</f>
        <v>672</v>
      </c>
      <c r="FR53" s="19">
        <v>2254</v>
      </c>
      <c r="FS53" s="8">
        <v>27</v>
      </c>
      <c r="FU53" s="74" t="s">
        <v>59</v>
      </c>
      <c r="FV53" s="37" t="s">
        <v>60</v>
      </c>
      <c r="FW53" s="8">
        <v>744</v>
      </c>
      <c r="FX53" s="6">
        <v>309.89999999999998</v>
      </c>
      <c r="FY53" s="6">
        <v>434.1</v>
      </c>
      <c r="FZ53" s="8">
        <v>0</v>
      </c>
      <c r="GA53" s="69">
        <f>(FZ53/$FV$4)</f>
        <v>0</v>
      </c>
      <c r="GB53" s="8">
        <v>0</v>
      </c>
      <c r="GC53" s="69">
        <f>(GB53/$FV$4)</f>
        <v>0</v>
      </c>
      <c r="GD53" s="6">
        <v>0</v>
      </c>
      <c r="GE53" s="6">
        <f>(GD53/$FV$4)</f>
        <v>0</v>
      </c>
      <c r="GF53" s="8">
        <v>0</v>
      </c>
      <c r="GG53" s="69">
        <f>(FW53/$X$4)</f>
        <v>1</v>
      </c>
      <c r="GH53" s="69">
        <f>((FW53-GF53)/$FV$4)</f>
        <v>1</v>
      </c>
      <c r="GI53" s="149">
        <f>IF((AND(FX53=0,FZ53=0)),0,(FZ53+GF53)/(FX53+FZ53+GF53))</f>
        <v>0</v>
      </c>
      <c r="GJ53" s="149">
        <f>GF53/$FV$4</f>
        <v>0</v>
      </c>
      <c r="GK53" s="69">
        <f>(GN53/($FV$4*GO53))</f>
        <v>0.42612504978096377</v>
      </c>
      <c r="GL53" s="69"/>
      <c r="GM53" s="6">
        <f>SUM(FX53:FZ53,GB53,GD53)</f>
        <v>744</v>
      </c>
      <c r="GN53" s="19">
        <v>8560</v>
      </c>
      <c r="GO53" s="8">
        <v>27</v>
      </c>
      <c r="GQ53" s="74" t="s">
        <v>59</v>
      </c>
      <c r="GR53" s="37" t="s">
        <v>60</v>
      </c>
      <c r="GS53" s="8">
        <v>696</v>
      </c>
      <c r="GT53" s="8">
        <v>569.4</v>
      </c>
      <c r="GU53" s="8">
        <v>126.6</v>
      </c>
      <c r="GV53" s="8">
        <v>24</v>
      </c>
      <c r="GW53" s="6">
        <f>(GV53/$GR$4)</f>
        <v>3.3333333333333333E-2</v>
      </c>
      <c r="GX53" s="8">
        <v>0</v>
      </c>
      <c r="GY53" s="6">
        <f>(GX53/$GR$4)</f>
        <v>0</v>
      </c>
      <c r="GZ53" s="6">
        <v>0</v>
      </c>
      <c r="HA53" s="6">
        <f>(GZ53/$GR$4)</f>
        <v>0</v>
      </c>
      <c r="HB53" s="8">
        <v>0</v>
      </c>
      <c r="HC53" s="69">
        <f>(GS53/$X$4)</f>
        <v>0.93548387096774188</v>
      </c>
      <c r="HD53" s="69">
        <f>((GS53-HB53)/$GR$4)</f>
        <v>0.96666666666666667</v>
      </c>
      <c r="HE53" s="149">
        <f>IF((AND(GT53=0,GV53=0)),0,(GV53+HB53)/(GT53+GV53+HB53))</f>
        <v>4.0444893832153689E-2</v>
      </c>
      <c r="HF53" s="149">
        <f>HB53/$GR$4</f>
        <v>0</v>
      </c>
      <c r="HG53" s="69">
        <f>(HJ53/($GR$4*HK53))</f>
        <v>0.82330246913580252</v>
      </c>
      <c r="HH53" s="15">
        <v>0</v>
      </c>
      <c r="HI53" s="6">
        <f>SUM(GT53:GV53,GX53,GZ53)</f>
        <v>720</v>
      </c>
      <c r="HJ53" s="43">
        <v>16005</v>
      </c>
      <c r="HK53" s="8">
        <v>27</v>
      </c>
      <c r="HM53" s="74" t="s">
        <v>59</v>
      </c>
      <c r="HN53" s="37" t="s">
        <v>60</v>
      </c>
      <c r="HO53" s="8">
        <v>576</v>
      </c>
      <c r="HP53" s="6">
        <v>185</v>
      </c>
      <c r="HQ53" s="8">
        <v>391</v>
      </c>
      <c r="HR53" s="8">
        <v>168</v>
      </c>
      <c r="HS53" s="6">
        <f>(HR53/$HN$4)</f>
        <v>0.22580645161290322</v>
      </c>
      <c r="HT53" s="8">
        <v>0</v>
      </c>
      <c r="HU53" s="6">
        <f>(HT53/$HN$4)</f>
        <v>0</v>
      </c>
      <c r="HV53" s="8">
        <v>0</v>
      </c>
      <c r="HW53" s="6">
        <f>(HV53/$HN$4)</f>
        <v>0</v>
      </c>
      <c r="HX53" s="8">
        <v>0</v>
      </c>
      <c r="HY53" s="69">
        <f>(HO53/$HN$4)</f>
        <v>0.77419354838709675</v>
      </c>
      <c r="HZ53" s="69">
        <f>((HO53-HX53)/$HN$4)</f>
        <v>0.77419354838709675</v>
      </c>
      <c r="IA53" s="69">
        <f>IF((AND(HP53=0,HR53=0)),0,(HR53+HX53)/(HP53+HR53))</f>
        <v>0.47592067988668557</v>
      </c>
      <c r="IB53" s="149">
        <f>HX53/$HN$4</f>
        <v>0</v>
      </c>
      <c r="IC53" s="69">
        <f>(IF53/($HN$4*IG53))</f>
        <v>0.24636598964555953</v>
      </c>
      <c r="ID53" s="15">
        <v>0</v>
      </c>
      <c r="IE53" s="6">
        <f>SUM(HP53:HR53,HT53,HV53)</f>
        <v>744</v>
      </c>
      <c r="IF53" s="19">
        <v>4949</v>
      </c>
      <c r="IG53" s="8">
        <v>27</v>
      </c>
      <c r="II53" s="74" t="s">
        <v>59</v>
      </c>
      <c r="IJ53" s="37" t="s">
        <v>60</v>
      </c>
      <c r="IK53" s="8">
        <v>720</v>
      </c>
      <c r="IL53" s="8">
        <v>146.19999999999999</v>
      </c>
      <c r="IM53" s="8">
        <v>573.79999999999995</v>
      </c>
      <c r="IN53" s="8">
        <v>0</v>
      </c>
      <c r="IO53" s="69">
        <f>(IN53/$IJ$4)</f>
        <v>0</v>
      </c>
      <c r="IP53" s="8">
        <v>0</v>
      </c>
      <c r="IQ53" s="69">
        <f>(IP53/$IJ$4)</f>
        <v>0</v>
      </c>
      <c r="IR53" s="8">
        <v>0</v>
      </c>
      <c r="IS53" s="69">
        <f>(IR53/$IJ$4)</f>
        <v>0</v>
      </c>
      <c r="IT53" s="8">
        <v>0</v>
      </c>
      <c r="IU53" s="69">
        <f>(IK53/$IJ$4)</f>
        <v>1</v>
      </c>
      <c r="IV53" s="164">
        <f>((IK53-IT53)/$IJ$4)</f>
        <v>1</v>
      </c>
      <c r="IW53" s="164">
        <f>IF((AND(IL53=0,IN53=0)),0,(IN53+IT53)/(IL53+IN53+IT53))</f>
        <v>0</v>
      </c>
      <c r="IX53" s="149">
        <f>IT53/$IJ$4</f>
        <v>0</v>
      </c>
      <c r="IY53" s="69">
        <f>(JB53/($IJ$4*JC53))</f>
        <v>0.19763374485596708</v>
      </c>
      <c r="IZ53" s="15">
        <v>0</v>
      </c>
      <c r="JA53" s="15">
        <f>SUM(IL53:IN53,IP53,IR53)</f>
        <v>720</v>
      </c>
      <c r="JB53" s="46">
        <v>3842</v>
      </c>
      <c r="JC53" s="8">
        <v>27</v>
      </c>
    </row>
    <row r="54" spans="1:263" ht="15" x14ac:dyDescent="0.2">
      <c r="A54" s="74" t="s">
        <v>61</v>
      </c>
      <c r="B54" s="37" t="s">
        <v>62</v>
      </c>
      <c r="C54" s="8">
        <v>744</v>
      </c>
      <c r="D54" s="8">
        <v>31.6</v>
      </c>
      <c r="E54" s="8">
        <v>712.4</v>
      </c>
      <c r="F54" s="8">
        <v>0</v>
      </c>
      <c r="G54" s="6">
        <f>(F54/$B$4)</f>
        <v>0</v>
      </c>
      <c r="H54" s="8">
        <v>0</v>
      </c>
      <c r="I54" s="6">
        <f>(H54/$B$4)</f>
        <v>0</v>
      </c>
      <c r="J54" s="6">
        <v>0</v>
      </c>
      <c r="K54" s="6">
        <f>(J54/$B$4)</f>
        <v>0</v>
      </c>
      <c r="L54" s="8">
        <v>0</v>
      </c>
      <c r="M54" s="69">
        <f>(C54/$B$4)</f>
        <v>1</v>
      </c>
      <c r="N54" s="69">
        <f>((C54-L54)/$B$4)</f>
        <v>1</v>
      </c>
      <c r="O54" s="69">
        <f>IF((AND(D54=0,F54=0)),0,(F54+L54)/(D54+F54+L54))</f>
        <v>0</v>
      </c>
      <c r="P54" s="149">
        <f>L54/$B$4</f>
        <v>0</v>
      </c>
      <c r="Q54" s="69">
        <f>(T54/($B$4*U54))</f>
        <v>3.6688570290720826E-2</v>
      </c>
      <c r="R54" s="15">
        <v>0</v>
      </c>
      <c r="S54" s="6">
        <f t="shared" ref="S54:S55" si="940">SUM(D54:F54,H54,J54)</f>
        <v>744</v>
      </c>
      <c r="T54" s="8">
        <v>737</v>
      </c>
      <c r="U54" s="8">
        <v>27</v>
      </c>
      <c r="W54" s="74" t="s">
        <v>61</v>
      </c>
      <c r="X54" s="37" t="s">
        <v>62</v>
      </c>
      <c r="Y54" s="41">
        <v>744</v>
      </c>
      <c r="Z54" s="41">
        <v>234.2</v>
      </c>
      <c r="AA54" s="41">
        <v>509.8</v>
      </c>
      <c r="AB54" s="8">
        <v>0</v>
      </c>
      <c r="AC54" s="6">
        <f>(AB54/$X$4)</f>
        <v>0</v>
      </c>
      <c r="AD54" s="8">
        <v>0</v>
      </c>
      <c r="AE54" s="6">
        <f>(AD54/$X$4)</f>
        <v>0</v>
      </c>
      <c r="AF54" s="6">
        <v>0</v>
      </c>
      <c r="AG54" s="6">
        <f>(AF54/$X$4)</f>
        <v>0</v>
      </c>
      <c r="AH54" s="8">
        <v>0</v>
      </c>
      <c r="AI54" s="69">
        <f t="shared" ref="AI54:AI55" si="941">(Y54/$X$4)</f>
        <v>1</v>
      </c>
      <c r="AJ54" s="69">
        <f t="shared" ref="AJ54:AJ55" si="942">((Y54-AH54)/$X$4)</f>
        <v>1</v>
      </c>
      <c r="AK54" s="149">
        <f t="shared" ref="AK54:AK55" si="943">IF((AND(Z54=0,AB54=0)),0,(AB54+AH54)/(Z54+AB54+AH54))</f>
        <v>0</v>
      </c>
      <c r="AL54" s="149">
        <f t="shared" ref="AL54:AL55" si="944">AH54/$X$4</f>
        <v>0</v>
      </c>
      <c r="AM54" s="69">
        <f t="shared" ref="AM54:AM55" si="945">(AP54/($X$4*AQ54))</f>
        <v>0.28952608522500994</v>
      </c>
      <c r="AN54" s="15">
        <v>0</v>
      </c>
      <c r="AO54" s="6">
        <f t="shared" ref="AO54:AO55" si="946">SUM(Z54:AB54,AD54,AF54)</f>
        <v>744</v>
      </c>
      <c r="AP54" s="19">
        <v>5816</v>
      </c>
      <c r="AQ54" s="8">
        <v>27</v>
      </c>
      <c r="AS54" s="74" t="s">
        <v>61</v>
      </c>
      <c r="AT54" s="37" t="s">
        <v>62</v>
      </c>
      <c r="AU54" s="8">
        <v>720</v>
      </c>
      <c r="AV54" s="8">
        <v>189.6</v>
      </c>
      <c r="AW54" s="8">
        <v>530.4</v>
      </c>
      <c r="AX54" s="8">
        <v>0</v>
      </c>
      <c r="AY54" s="6">
        <f t="shared" ref="AY54:BA55" si="947">(AX54/$AT$4)</f>
        <v>0</v>
      </c>
      <c r="AZ54" s="8">
        <v>0</v>
      </c>
      <c r="BA54" s="6">
        <f t="shared" si="947"/>
        <v>0</v>
      </c>
      <c r="BB54" s="6">
        <v>0</v>
      </c>
      <c r="BC54" s="6">
        <f t="shared" ref="BC54" si="948">(BB54/$AT$4)</f>
        <v>0</v>
      </c>
      <c r="BD54" s="8">
        <v>0</v>
      </c>
      <c r="BE54" s="69">
        <f t="shared" ref="BE54" si="949">(AU54/$AT$4)</f>
        <v>1</v>
      </c>
      <c r="BF54" s="69">
        <f t="shared" ref="BF54" si="950">((AU54-BD54)/$AT$4)</f>
        <v>1</v>
      </c>
      <c r="BG54" s="69">
        <f t="shared" ref="BG54" si="951">IF((AND(AV54=0,AX54=0)),0,(AX54+BD54)/(AV54+AX54+BD54))</f>
        <v>0</v>
      </c>
      <c r="BH54" s="149">
        <f t="shared" ref="BH54" si="952">BD54/$AT$4</f>
        <v>0</v>
      </c>
      <c r="BI54" s="69">
        <f t="shared" ref="BI54" si="953">(BL54/($AT$4*BM54))</f>
        <v>0.24994855967078189</v>
      </c>
      <c r="BJ54" s="6"/>
      <c r="BK54" s="6">
        <f t="shared" ref="BK54:BK55" si="954">SUM(AV54:AX54,AZ54,BB54)</f>
        <v>720</v>
      </c>
      <c r="BL54" s="19">
        <v>4859</v>
      </c>
      <c r="BM54" s="8">
        <v>27</v>
      </c>
      <c r="BO54" s="74" t="s">
        <v>61</v>
      </c>
      <c r="BP54" s="37" t="s">
        <v>62</v>
      </c>
      <c r="BQ54" s="17">
        <v>624</v>
      </c>
      <c r="BR54" s="17">
        <v>174.3</v>
      </c>
      <c r="BS54" s="17">
        <v>449.7</v>
      </c>
      <c r="BT54" s="8">
        <v>120</v>
      </c>
      <c r="BU54" s="6">
        <f t="shared" ref="BU54:BW55" si="955">(BT54/$BP$4)</f>
        <v>0.16129032258064516</v>
      </c>
      <c r="BV54" s="8">
        <v>0</v>
      </c>
      <c r="BW54" s="6">
        <f t="shared" si="955"/>
        <v>0</v>
      </c>
      <c r="BX54" s="6">
        <v>0</v>
      </c>
      <c r="BY54" s="6">
        <f t="shared" ref="BY54" si="956">(BX54/$BP$4)</f>
        <v>0</v>
      </c>
      <c r="BZ54" s="8">
        <v>0</v>
      </c>
      <c r="CA54" s="69">
        <f t="shared" ref="CA54:CA55" si="957">(BQ54/$BP$4)</f>
        <v>0.83870967741935487</v>
      </c>
      <c r="CB54" s="69">
        <f t="shared" ref="CB54:CB55" si="958">((BQ54-BZ54)/$BP$4)</f>
        <v>0.83870967741935487</v>
      </c>
      <c r="CC54" s="149">
        <f t="shared" ref="CC54:CC55" si="959">IF((AND(BR54=0,BT54=0)),0,(BT54+BZ54)/(BR54+BT54+BZ54))</f>
        <v>0.4077471967380224</v>
      </c>
      <c r="CD54" s="149">
        <f t="shared" ref="CD54:CD55" si="960">BZ54/$BP$4</f>
        <v>0</v>
      </c>
      <c r="CE54" s="69">
        <f t="shared" ref="CE54:CE55" si="961">(CH54/($BP$4*CI54))</f>
        <v>0.2262046993229789</v>
      </c>
      <c r="CF54" s="69"/>
      <c r="CG54" s="42">
        <f t="shared" ref="CG54:CG55" si="962">SUM(BR54:BT54,BV54,BX54)</f>
        <v>744</v>
      </c>
      <c r="CH54" s="19">
        <v>4544</v>
      </c>
      <c r="CI54" s="8">
        <v>27</v>
      </c>
      <c r="CK54" s="74" t="s">
        <v>61</v>
      </c>
      <c r="CL54" s="37" t="s">
        <v>62</v>
      </c>
      <c r="CM54" s="17">
        <v>718</v>
      </c>
      <c r="CN54" s="17">
        <v>65.430000000000007</v>
      </c>
      <c r="CO54" s="17">
        <v>652.57000000000005</v>
      </c>
      <c r="CP54" s="17">
        <v>2</v>
      </c>
      <c r="CQ54" s="6">
        <f t="shared" ref="CQ54:CS55" si="963">(CP54/$CL$4)</f>
        <v>2.7777777777777779E-3</v>
      </c>
      <c r="CR54" s="8">
        <v>0</v>
      </c>
      <c r="CS54" s="6">
        <f t="shared" si="963"/>
        <v>0</v>
      </c>
      <c r="CT54" s="6">
        <v>0</v>
      </c>
      <c r="CU54" s="6">
        <f t="shared" ref="CU54" si="964">(CT54/$CL$4)</f>
        <v>0</v>
      </c>
      <c r="CV54" s="8">
        <v>0</v>
      </c>
      <c r="CW54" s="69">
        <f t="shared" ref="CW54" si="965">(CM54/$CL$4)</f>
        <v>0.99722222222222223</v>
      </c>
      <c r="CX54" s="69">
        <f t="shared" ref="CX54" si="966">((CM54-CV54)/$CL$4)</f>
        <v>0.99722222222222223</v>
      </c>
      <c r="CY54" s="149">
        <f t="shared" ref="CY54" si="967">IF((AND(CN54=0,CP54=0)),0,(CP54+CV54)/(CN54+CP54+CV54))</f>
        <v>2.9660388551090017E-2</v>
      </c>
      <c r="CZ54" s="149">
        <f t="shared" ref="CZ54" si="968">CV54/$CL$4</f>
        <v>0</v>
      </c>
      <c r="DA54" s="69">
        <f t="shared" ref="DA54" si="969">(DD54/($CL$4*DE54))</f>
        <v>8.1018518518518517E-2</v>
      </c>
      <c r="DB54" s="6"/>
      <c r="DC54" s="6">
        <f t="shared" ref="DC54:DC55" si="970">SUM(CN54:CP54,CR54,CT54)</f>
        <v>720</v>
      </c>
      <c r="DD54" s="42">
        <v>1575</v>
      </c>
      <c r="DE54" s="8">
        <v>27</v>
      </c>
      <c r="DG54" s="74" t="s">
        <v>61</v>
      </c>
      <c r="DH54" s="37" t="s">
        <v>62</v>
      </c>
      <c r="DI54" s="8">
        <v>732</v>
      </c>
      <c r="DJ54" s="8">
        <v>101.07</v>
      </c>
      <c r="DK54" s="8">
        <v>630.92999999999995</v>
      </c>
      <c r="DL54" s="8">
        <v>12</v>
      </c>
      <c r="DM54" s="69">
        <f>(DL54/$DH$4)</f>
        <v>1.6129032258064516E-2</v>
      </c>
      <c r="DN54" s="8">
        <v>0</v>
      </c>
      <c r="DO54" s="69">
        <f>(DN54/$DH$4)</f>
        <v>0</v>
      </c>
      <c r="DP54" s="6">
        <v>0</v>
      </c>
      <c r="DQ54" s="69">
        <f>(DP54/$DH$4)</f>
        <v>0</v>
      </c>
      <c r="DR54" s="8">
        <v>0</v>
      </c>
      <c r="DS54" s="69">
        <f t="shared" ref="DS54" si="971">(DI54/$X$4)</f>
        <v>0.9838709677419355</v>
      </c>
      <c r="DT54" s="69">
        <f t="shared" ref="DT54" si="972">((DI54-DR54)/$DH$4)</f>
        <v>0.9838709677419355</v>
      </c>
      <c r="DU54" s="149">
        <f t="shared" ref="DU54" si="973">IF((AND(DJ54=0,DL54=0)),0,(DL54+DR54)/(DJ54+DL54+DR54))</f>
        <v>0.10612894667020431</v>
      </c>
      <c r="DV54" s="149">
        <f t="shared" ref="DV54" si="974">DR54/$DH$4</f>
        <v>0</v>
      </c>
      <c r="DW54" s="69">
        <f t="shared" ref="DW54" si="975">(DZ54/($DH$4*EA54))</f>
        <v>0.12987853444842692</v>
      </c>
      <c r="DX54" s="69"/>
      <c r="DY54" s="15">
        <f t="shared" ref="DY54:DY55" si="976">SUM(DJ54:DL54,DN54,DP54)</f>
        <v>744</v>
      </c>
      <c r="DZ54" s="38">
        <v>2609</v>
      </c>
      <c r="EA54" s="8">
        <v>27</v>
      </c>
      <c r="EC54" s="74" t="s">
        <v>61</v>
      </c>
      <c r="ED54" s="37" t="s">
        <v>62</v>
      </c>
      <c r="EE54" s="8">
        <v>744</v>
      </c>
      <c r="EF54" s="8">
        <v>136.6</v>
      </c>
      <c r="EG54" s="8">
        <v>607.4</v>
      </c>
      <c r="EH54" s="8">
        <v>0</v>
      </c>
      <c r="EI54" s="6">
        <f t="shared" ref="EI54:EI55" si="977">(EH54/$ED$4)</f>
        <v>0</v>
      </c>
      <c r="EJ54" s="8">
        <v>0</v>
      </c>
      <c r="EK54" s="6">
        <f t="shared" ref="EK54:EK55" si="978">(EJ54/$ED$4)</f>
        <v>0</v>
      </c>
      <c r="EL54" s="6">
        <v>0</v>
      </c>
      <c r="EM54" s="6">
        <f t="shared" ref="EM54:EM55" si="979">(EL54/$ED$4)</f>
        <v>0</v>
      </c>
      <c r="EN54" s="8">
        <v>0</v>
      </c>
      <c r="EO54" s="69">
        <f t="shared" ref="EO54:EO55" si="980">(EE54/$X$4)</f>
        <v>1</v>
      </c>
      <c r="EP54" s="69">
        <f t="shared" ref="EP54:EP55" si="981">((EE54-EN54)/$ED$4)</f>
        <v>1</v>
      </c>
      <c r="EQ54" s="149">
        <f t="shared" ref="EQ54:EQ55" si="982">IF((AND(EF54=0,EH54=0)),0,(EH54+EN54)/(EF54+EH54))</f>
        <v>0</v>
      </c>
      <c r="ER54" s="149"/>
      <c r="ES54" s="69">
        <f t="shared" ref="ES54:ES55" si="983">(EV54/($ED$4*EW54))*100</f>
        <v>18.17005177220231</v>
      </c>
      <c r="ET54" s="6"/>
      <c r="EU54" s="6">
        <f t="shared" ref="EU54:EU55" si="984">SUM(EF54:EH54,EJ54,EL54)</f>
        <v>744</v>
      </c>
      <c r="EV54" s="19">
        <v>3650</v>
      </c>
      <c r="EW54" s="8">
        <v>27</v>
      </c>
      <c r="EY54" s="74" t="s">
        <v>61</v>
      </c>
      <c r="EZ54" s="37" t="s">
        <v>62</v>
      </c>
      <c r="FA54" s="8">
        <v>672</v>
      </c>
      <c r="FB54" s="8">
        <v>120.2</v>
      </c>
      <c r="FC54" s="8">
        <v>551.79999999999995</v>
      </c>
      <c r="FD54" s="8">
        <v>0</v>
      </c>
      <c r="FE54" s="6">
        <f t="shared" ref="FE54:FE55" si="985">(FD54/$EZ$4)</f>
        <v>0</v>
      </c>
      <c r="FF54" s="8">
        <v>0</v>
      </c>
      <c r="FG54" s="6">
        <f t="shared" ref="FG54:FG55" si="986">(FF54/$EZ$4)</f>
        <v>0</v>
      </c>
      <c r="FH54" s="6">
        <v>0</v>
      </c>
      <c r="FI54" s="6">
        <f t="shared" ref="FI54:FI55" si="987">(FH54/$EZ$4)</f>
        <v>0</v>
      </c>
      <c r="FJ54" s="8">
        <v>0</v>
      </c>
      <c r="FK54" s="69">
        <f t="shared" ref="FK54:FK55" si="988">(FA54/$X$4)</f>
        <v>0.90322580645161288</v>
      </c>
      <c r="FL54" s="69">
        <f t="shared" ref="FL54:FL55" si="989">((FA54-FJ54)/$EZ$4)</f>
        <v>1</v>
      </c>
      <c r="FM54" s="149">
        <f t="shared" ref="FM54:FM55" si="990">IF((AND(FB54=0,FD54=0)),0,(FD54+FJ54)/(FB54+FD54+FJ54))</f>
        <v>0</v>
      </c>
      <c r="FN54" s="149">
        <f t="shared" ref="FN54:FN55" si="991">FJ54/$EZ$4</f>
        <v>0</v>
      </c>
      <c r="FO54" s="69">
        <f t="shared" ref="FO54:FO55" si="992">(FR54/($EZ$4*FS54))</f>
        <v>0.18149250440917108</v>
      </c>
      <c r="FP54" s="6"/>
      <c r="FQ54" s="6">
        <f t="shared" ref="FQ54:FQ55" si="993">SUM(FB54:FD54,FF54,FH54)</f>
        <v>672</v>
      </c>
      <c r="FR54" s="19">
        <v>3293</v>
      </c>
      <c r="FS54" s="8">
        <v>27</v>
      </c>
      <c r="FU54" s="74" t="s">
        <v>61</v>
      </c>
      <c r="FV54" s="37" t="s">
        <v>62</v>
      </c>
      <c r="FW54" s="8">
        <v>744</v>
      </c>
      <c r="FX54" s="6">
        <v>319.89999999999998</v>
      </c>
      <c r="FY54" s="6">
        <v>424.1</v>
      </c>
      <c r="FZ54" s="8">
        <v>0</v>
      </c>
      <c r="GA54" s="69">
        <f>(FZ54/$FV$4)</f>
        <v>0</v>
      </c>
      <c r="GB54" s="8">
        <v>0</v>
      </c>
      <c r="GC54" s="69">
        <f t="shared" ref="GC54:GC55" si="994">(GB54/$FV$4)</f>
        <v>0</v>
      </c>
      <c r="GD54" s="6">
        <v>0</v>
      </c>
      <c r="GE54" s="6">
        <f t="shared" ref="GE54:GE55" si="995">(GD54/$FV$4)</f>
        <v>0</v>
      </c>
      <c r="GF54" s="8">
        <v>0</v>
      </c>
      <c r="GG54" s="69">
        <f t="shared" ref="GG54:GG55" si="996">(FW54/$X$4)</f>
        <v>1</v>
      </c>
      <c r="GH54" s="69">
        <f t="shared" ref="GH54:GH55" si="997">((FW54-GF54)/$FV$4)</f>
        <v>1</v>
      </c>
      <c r="GI54" s="149">
        <f t="shared" ref="GI54:GI55" si="998">IF((AND(FX54=0,FZ54=0)),0,(FZ54+GF54)/(FX54+FZ54+GF54))</f>
        <v>0</v>
      </c>
      <c r="GJ54" s="149">
        <f t="shared" ref="GJ54:GJ55" si="999">GF54/$FV$4</f>
        <v>0</v>
      </c>
      <c r="GK54" s="69">
        <f t="shared" ref="GK54:GK55" si="1000">(GN54/($FV$4*GO54))</f>
        <v>0.43453803265631225</v>
      </c>
      <c r="GL54" s="69"/>
      <c r="GM54" s="6">
        <f t="shared" ref="GM54:GM55" si="1001">SUM(FX54:FZ54,GB54,GD54)</f>
        <v>744</v>
      </c>
      <c r="GN54" s="19">
        <v>8729</v>
      </c>
      <c r="GO54" s="8">
        <v>27</v>
      </c>
      <c r="GQ54" s="74" t="s">
        <v>61</v>
      </c>
      <c r="GR54" s="37" t="s">
        <v>62</v>
      </c>
      <c r="GS54" s="8">
        <v>552</v>
      </c>
      <c r="GT54" s="8">
        <v>300.89999999999998</v>
      </c>
      <c r="GU54" s="8">
        <v>251.1</v>
      </c>
      <c r="GV54" s="8">
        <v>168</v>
      </c>
      <c r="GW54" s="6">
        <f t="shared" ref="GW54:GW55" si="1002">(GV54/$GR$4)</f>
        <v>0.23333333333333334</v>
      </c>
      <c r="GX54" s="8">
        <v>0</v>
      </c>
      <c r="GY54" s="6">
        <f t="shared" ref="GY54:GY55" si="1003">(GX54/$GR$4)</f>
        <v>0</v>
      </c>
      <c r="GZ54" s="6">
        <v>0</v>
      </c>
      <c r="HA54" s="6">
        <f t="shared" ref="HA54:HA55" si="1004">(GZ54/$GR$4)</f>
        <v>0</v>
      </c>
      <c r="HB54" s="8">
        <v>0</v>
      </c>
      <c r="HC54" s="69">
        <f t="shared" ref="HC54:HC55" si="1005">(GS54/$X$4)</f>
        <v>0.74193548387096775</v>
      </c>
      <c r="HD54" s="69">
        <f>((GS54-HB54)/$GR$4)</f>
        <v>0.76666666666666672</v>
      </c>
      <c r="HE54" s="149">
        <f t="shared" ref="HE54:HE55" si="1006">IF((AND(GT54=0,GV54=0)),0,(GV54+HB54)/(GT54+GV54+HB54))</f>
        <v>0.35828534868841971</v>
      </c>
      <c r="HF54" s="149">
        <f>HB54/$GR$4</f>
        <v>0</v>
      </c>
      <c r="HG54" s="69">
        <f t="shared" ref="HG54:HG55" si="1007">(HJ54/($GR$4*HK54))</f>
        <v>0.42407407407407405</v>
      </c>
      <c r="HH54" s="15">
        <v>0</v>
      </c>
      <c r="HI54" s="6">
        <f t="shared" ref="HI54:HI55" si="1008">SUM(GT54:GV54,GX54,GZ54)</f>
        <v>720</v>
      </c>
      <c r="HJ54" s="43">
        <v>8244</v>
      </c>
      <c r="HK54" s="8">
        <v>27</v>
      </c>
      <c r="HM54" s="74" t="s">
        <v>61</v>
      </c>
      <c r="HN54" s="37" t="s">
        <v>62</v>
      </c>
      <c r="HO54" s="8">
        <v>48</v>
      </c>
      <c r="HP54" s="6">
        <v>10.1</v>
      </c>
      <c r="HQ54" s="8">
        <v>37.9</v>
      </c>
      <c r="HR54" s="8">
        <v>696</v>
      </c>
      <c r="HS54" s="6">
        <f>(HR54/$HN$4)</f>
        <v>0.93548387096774188</v>
      </c>
      <c r="HT54" s="8">
        <v>0</v>
      </c>
      <c r="HU54" s="6">
        <f t="shared" ref="HU54:HU55" si="1009">(HT54/$HN$4)</f>
        <v>0</v>
      </c>
      <c r="HV54" s="8">
        <v>0</v>
      </c>
      <c r="HW54" s="6">
        <f t="shared" ref="HW54:HW55" si="1010">(HV54/$HN$4)</f>
        <v>0</v>
      </c>
      <c r="HX54" s="8">
        <v>0</v>
      </c>
      <c r="HY54" s="69">
        <f t="shared" ref="HY54:HY55" si="1011">(HO54/$HN$4)</f>
        <v>6.4516129032258063E-2</v>
      </c>
      <c r="HZ54" s="69">
        <f t="shared" ref="HZ54:HZ55" si="1012">((HO54-HX54)/$HN$4)</f>
        <v>6.4516129032258063E-2</v>
      </c>
      <c r="IA54" s="69">
        <f t="shared" ref="IA54:IA55" si="1013">IF((AND(HP54=0,HR54=0)),0,(HR54+HX54)/(HP54+HR54))</f>
        <v>0.98569607704291173</v>
      </c>
      <c r="IB54" s="149">
        <f t="shared" ref="IB54:IB55" si="1014">HX54/$HN$4</f>
        <v>0</v>
      </c>
      <c r="IC54" s="69">
        <f t="shared" ref="IC54:IC55" si="1015">(IF54/($HN$4*IG54))</f>
        <v>1.3291517323775388E-2</v>
      </c>
      <c r="ID54" s="15">
        <v>0</v>
      </c>
      <c r="IE54" s="6">
        <f t="shared" ref="IE54:IE55" si="1016">SUM(HP54:HR54,HT54,HV54)</f>
        <v>744</v>
      </c>
      <c r="IF54" s="8">
        <v>267</v>
      </c>
      <c r="IG54" s="8">
        <v>27</v>
      </c>
      <c r="II54" s="74" t="s">
        <v>61</v>
      </c>
      <c r="IJ54" s="37" t="s">
        <v>62</v>
      </c>
      <c r="IK54" s="8">
        <v>720</v>
      </c>
      <c r="IL54" s="8">
        <v>127.4</v>
      </c>
      <c r="IM54" s="8">
        <v>592.6</v>
      </c>
      <c r="IN54" s="8">
        <v>0</v>
      </c>
      <c r="IO54" s="69">
        <f t="shared" ref="IO54:IO55" si="1017">(IN54/$IJ$4)</f>
        <v>0</v>
      </c>
      <c r="IP54" s="8">
        <v>0</v>
      </c>
      <c r="IQ54" s="69">
        <f>(IP54/$IJ$4)</f>
        <v>0</v>
      </c>
      <c r="IR54" s="8">
        <v>0</v>
      </c>
      <c r="IS54" s="69">
        <f>(IR54/$IJ$4)</f>
        <v>0</v>
      </c>
      <c r="IT54" s="8">
        <v>0</v>
      </c>
      <c r="IU54" s="69">
        <f>(IK54/$IJ$4)</f>
        <v>1</v>
      </c>
      <c r="IV54" s="164">
        <f>((IK54-IT54)/$IJ$4)</f>
        <v>1</v>
      </c>
      <c r="IW54" s="164">
        <f>IF((AND(IL54=0,IN54=0)),0,(IN54+IT54)/(IL54+IN54+IT54))</f>
        <v>0</v>
      </c>
      <c r="IX54" s="149">
        <f t="shared" ref="IX54:IX55" si="1018">IT54/$IJ$4</f>
        <v>0</v>
      </c>
      <c r="IY54" s="69">
        <f>(JB54/($IJ$4*JC54))</f>
        <v>0.17217078189300411</v>
      </c>
      <c r="IZ54" s="15">
        <v>0</v>
      </c>
      <c r="JA54" s="15">
        <f t="shared" ref="JA54:JA55" si="1019">SUM(IL54:IN54,IP54,IR54)</f>
        <v>720</v>
      </c>
      <c r="JB54" s="46">
        <v>3347</v>
      </c>
      <c r="JC54" s="8">
        <v>27</v>
      </c>
    </row>
    <row r="55" spans="1:263" ht="14.25" x14ac:dyDescent="0.2">
      <c r="B55" s="37" t="s">
        <v>63</v>
      </c>
      <c r="C55" s="8">
        <v>744</v>
      </c>
      <c r="D55" s="8">
        <v>25.2</v>
      </c>
      <c r="E55" s="8">
        <v>718.8</v>
      </c>
      <c r="F55" s="8">
        <v>0</v>
      </c>
      <c r="G55" s="6">
        <f>(F55/$B$4)</f>
        <v>0</v>
      </c>
      <c r="H55" s="8">
        <v>0</v>
      </c>
      <c r="I55" s="6">
        <f>(H55/$B$4)</f>
        <v>0</v>
      </c>
      <c r="J55" s="6">
        <v>0</v>
      </c>
      <c r="K55" s="6">
        <f>(J55/$B$4)</f>
        <v>0</v>
      </c>
      <c r="L55" s="8">
        <v>0</v>
      </c>
      <c r="M55" s="69">
        <f>(C55/$B$4)</f>
        <v>1</v>
      </c>
      <c r="N55" s="69">
        <f>((C55-L55)/$B$4)</f>
        <v>1</v>
      </c>
      <c r="O55" s="69">
        <f>IF((AND(D55=0,F55=0)),0,(F55+L55)/(D55+F55+L55))</f>
        <v>0</v>
      </c>
      <c r="P55" s="149">
        <f>L55/$B$4</f>
        <v>0</v>
      </c>
      <c r="Q55" s="69">
        <f>(T55/($B$4*U55))</f>
        <v>2.6334129828753484E-2</v>
      </c>
      <c r="R55" s="15">
        <v>0</v>
      </c>
      <c r="S55" s="6">
        <f t="shared" si="940"/>
        <v>744</v>
      </c>
      <c r="T55" s="8">
        <v>529</v>
      </c>
      <c r="U55" s="8">
        <v>27</v>
      </c>
      <c r="X55" s="37" t="s">
        <v>63</v>
      </c>
      <c r="Y55" s="41">
        <v>744</v>
      </c>
      <c r="Z55" s="41">
        <v>217.9</v>
      </c>
      <c r="AA55" s="41">
        <v>526.1</v>
      </c>
      <c r="AB55" s="8">
        <v>0</v>
      </c>
      <c r="AC55" s="6">
        <f>(AB55/$X$4)</f>
        <v>0</v>
      </c>
      <c r="AD55" s="8">
        <v>0</v>
      </c>
      <c r="AE55" s="6">
        <f>(AD55/$X$4)</f>
        <v>0</v>
      </c>
      <c r="AF55" s="6">
        <v>0</v>
      </c>
      <c r="AG55" s="6">
        <f>(AF55/$X$4)</f>
        <v>0</v>
      </c>
      <c r="AH55" s="8">
        <v>0</v>
      </c>
      <c r="AI55" s="69">
        <f t="shared" si="941"/>
        <v>1</v>
      </c>
      <c r="AJ55" s="69">
        <f t="shared" si="942"/>
        <v>1</v>
      </c>
      <c r="AK55" s="149">
        <f t="shared" si="943"/>
        <v>0</v>
      </c>
      <c r="AL55" s="149">
        <f t="shared" si="944"/>
        <v>0</v>
      </c>
      <c r="AM55" s="69">
        <f t="shared" si="945"/>
        <v>0.21704500199123855</v>
      </c>
      <c r="AN55" s="15">
        <v>0</v>
      </c>
      <c r="AO55" s="6">
        <f t="shared" si="946"/>
        <v>744</v>
      </c>
      <c r="AP55" s="19">
        <v>4360</v>
      </c>
      <c r="AQ55" s="8">
        <v>27</v>
      </c>
      <c r="AT55" s="37" t="s">
        <v>63</v>
      </c>
      <c r="AU55" s="8">
        <v>704</v>
      </c>
      <c r="AV55" s="8">
        <v>136.19999999999999</v>
      </c>
      <c r="AW55" s="8">
        <v>567.79999999999995</v>
      </c>
      <c r="AX55" s="8">
        <v>16</v>
      </c>
      <c r="AY55" s="6">
        <f t="shared" si="947"/>
        <v>2.2222222222222223E-2</v>
      </c>
      <c r="AZ55" s="8">
        <v>0</v>
      </c>
      <c r="BA55" s="6">
        <f t="shared" si="947"/>
        <v>0</v>
      </c>
      <c r="BB55" s="6">
        <v>0</v>
      </c>
      <c r="BC55" s="6">
        <f t="shared" ref="BC55" si="1020">(BB55/$AT$4)</f>
        <v>0</v>
      </c>
      <c r="BD55" s="8">
        <v>0</v>
      </c>
      <c r="BE55" s="69">
        <f t="shared" ref="BE55" si="1021">(AU55/$AT$4)</f>
        <v>0.97777777777777775</v>
      </c>
      <c r="BF55" s="69">
        <f t="shared" ref="BF55" si="1022">((AU55-BD55)/$AT$4)</f>
        <v>0.97777777777777775</v>
      </c>
      <c r="BG55" s="69">
        <f t="shared" ref="BG55" si="1023">IF((AND(AV55=0,AX55=0)),0,(AX55+BD55)/(AV55+AX55+BD55))</f>
        <v>0.10512483574244416</v>
      </c>
      <c r="BH55" s="149">
        <f t="shared" ref="BH55" si="1024">BD55/$AT$4</f>
        <v>0</v>
      </c>
      <c r="BI55" s="69">
        <f t="shared" ref="BI55" si="1025">(BL55/($AT$4*BM55))</f>
        <v>0.16491769547325102</v>
      </c>
      <c r="BJ55" s="6"/>
      <c r="BK55" s="6">
        <f t="shared" si="954"/>
        <v>720</v>
      </c>
      <c r="BL55" s="19">
        <v>3206</v>
      </c>
      <c r="BM55" s="8">
        <v>27</v>
      </c>
      <c r="BP55" s="37" t="s">
        <v>63</v>
      </c>
      <c r="BQ55" s="17">
        <v>744</v>
      </c>
      <c r="BR55" s="17">
        <v>189.3</v>
      </c>
      <c r="BS55" s="17">
        <v>554.70000000000005</v>
      </c>
      <c r="BT55" s="8">
        <v>0</v>
      </c>
      <c r="BU55" s="6">
        <f t="shared" si="955"/>
        <v>0</v>
      </c>
      <c r="BV55" s="8">
        <v>0</v>
      </c>
      <c r="BW55" s="6">
        <f t="shared" si="955"/>
        <v>0</v>
      </c>
      <c r="BX55" s="6">
        <v>0</v>
      </c>
      <c r="BY55" s="6">
        <f t="shared" ref="BY55" si="1026">(BX55/$BP$4)</f>
        <v>0</v>
      </c>
      <c r="BZ55" s="8">
        <v>0</v>
      </c>
      <c r="CA55" s="69">
        <f t="shared" si="957"/>
        <v>1</v>
      </c>
      <c r="CB55" s="69">
        <f t="shared" si="958"/>
        <v>1</v>
      </c>
      <c r="CC55" s="149">
        <f t="shared" si="959"/>
        <v>0</v>
      </c>
      <c r="CD55" s="149">
        <f t="shared" si="960"/>
        <v>0</v>
      </c>
      <c r="CE55" s="69">
        <f t="shared" si="961"/>
        <v>0.22914177618478693</v>
      </c>
      <c r="CF55" s="69"/>
      <c r="CG55" s="42">
        <f t="shared" si="962"/>
        <v>744</v>
      </c>
      <c r="CH55" s="19">
        <v>4603</v>
      </c>
      <c r="CI55" s="8">
        <v>27</v>
      </c>
      <c r="CL55" s="37" t="s">
        <v>63</v>
      </c>
      <c r="CM55" s="41">
        <v>720</v>
      </c>
      <c r="CN55" s="41">
        <v>65.930000000000007</v>
      </c>
      <c r="CO55" s="41">
        <v>654.07000000000005</v>
      </c>
      <c r="CP55" s="41">
        <v>0</v>
      </c>
      <c r="CQ55" s="6">
        <f t="shared" si="963"/>
        <v>0</v>
      </c>
      <c r="CR55" s="8">
        <v>0</v>
      </c>
      <c r="CS55" s="6">
        <f t="shared" si="963"/>
        <v>0</v>
      </c>
      <c r="CT55" s="6">
        <v>0</v>
      </c>
      <c r="CU55" s="6">
        <f t="shared" ref="CU55" si="1027">(CT55/$CL$4)</f>
        <v>0</v>
      </c>
      <c r="CV55" s="8">
        <v>0</v>
      </c>
      <c r="CW55" s="69">
        <f t="shared" ref="CW55" si="1028">(CM55/$CL$4)</f>
        <v>1</v>
      </c>
      <c r="CX55" s="69">
        <f t="shared" ref="CX55" si="1029">((CM55-CV55)/$CL$4)</f>
        <v>1</v>
      </c>
      <c r="CY55" s="149">
        <f t="shared" ref="CY55" si="1030">IF((AND(CN55=0,CP55=0)),0,(CP55+CV55)/(CN55+CP55+CV55))</f>
        <v>0</v>
      </c>
      <c r="CZ55" s="149">
        <f t="shared" ref="CZ55" si="1031">CV55/$CL$4</f>
        <v>0</v>
      </c>
      <c r="DA55" s="69">
        <f t="shared" ref="DA55" si="1032">(DD55/($CL$4*DE55))</f>
        <v>8.2150205761316875E-2</v>
      </c>
      <c r="DB55" s="6"/>
      <c r="DC55" s="6">
        <f t="shared" si="970"/>
        <v>720</v>
      </c>
      <c r="DD55" s="42">
        <v>1597</v>
      </c>
      <c r="DE55" s="8">
        <v>27</v>
      </c>
      <c r="DH55" s="37" t="s">
        <v>63</v>
      </c>
      <c r="DI55" s="8">
        <v>742</v>
      </c>
      <c r="DJ55" s="8">
        <v>108.37</v>
      </c>
      <c r="DK55" s="8">
        <v>633.63</v>
      </c>
      <c r="DL55" s="8">
        <v>2</v>
      </c>
      <c r="DM55" s="69">
        <f>(DL55/$DH$4)</f>
        <v>2.6881720430107529E-3</v>
      </c>
      <c r="DN55" s="8">
        <v>0</v>
      </c>
      <c r="DO55" s="69">
        <f>(DN55/$DH$4)</f>
        <v>0</v>
      </c>
      <c r="DP55" s="6">
        <v>0</v>
      </c>
      <c r="DQ55" s="69">
        <f>(DP55/$DH$4)</f>
        <v>0</v>
      </c>
      <c r="DR55" s="8">
        <v>0</v>
      </c>
      <c r="DS55" s="69">
        <f>(DI55/$X$4)</f>
        <v>0.99731182795698925</v>
      </c>
      <c r="DT55" s="69">
        <f>((DI55-DR55)/$DH$4)</f>
        <v>0.99731182795698925</v>
      </c>
      <c r="DU55" s="149">
        <f>IF((AND(DJ55=0,DL55=0)),0,(DL55+DR55)/(DJ55+DL55+DR55))</f>
        <v>1.8120866177403279E-2</v>
      </c>
      <c r="DV55" s="149">
        <f>DR55/$DH$4</f>
        <v>0</v>
      </c>
      <c r="DW55" s="69">
        <f>(DZ55/($DH$4*EA55))</f>
        <v>0.13102349661489446</v>
      </c>
      <c r="DX55" s="69"/>
      <c r="DY55" s="15">
        <f t="shared" si="976"/>
        <v>744</v>
      </c>
      <c r="DZ55" s="38">
        <v>2632</v>
      </c>
      <c r="EA55" s="8">
        <v>27</v>
      </c>
      <c r="ED55" s="37" t="s">
        <v>63</v>
      </c>
      <c r="EE55" s="8">
        <v>732</v>
      </c>
      <c r="EF55" s="8">
        <v>118.9</v>
      </c>
      <c r="EG55" s="8">
        <v>613.1</v>
      </c>
      <c r="EH55" s="8">
        <v>12</v>
      </c>
      <c r="EI55" s="6">
        <f t="shared" si="977"/>
        <v>1.6129032258064516E-2</v>
      </c>
      <c r="EJ55" s="8">
        <v>0</v>
      </c>
      <c r="EK55" s="6">
        <f t="shared" si="978"/>
        <v>0</v>
      </c>
      <c r="EL55" s="6">
        <v>0</v>
      </c>
      <c r="EM55" s="6">
        <f t="shared" si="979"/>
        <v>0</v>
      </c>
      <c r="EN55" s="8">
        <v>0</v>
      </c>
      <c r="EO55" s="69">
        <f t="shared" si="980"/>
        <v>0.9838709677419355</v>
      </c>
      <c r="EP55" s="69">
        <f t="shared" si="981"/>
        <v>0.9838709677419355</v>
      </c>
      <c r="EQ55" s="149">
        <f t="shared" si="982"/>
        <v>9.1673032849503427E-2</v>
      </c>
      <c r="ER55" s="149"/>
      <c r="ES55" s="69">
        <f t="shared" si="983"/>
        <v>11.544205495818399</v>
      </c>
      <c r="ET55" s="6"/>
      <c r="EU55" s="6">
        <f t="shared" si="984"/>
        <v>744</v>
      </c>
      <c r="EV55" s="19">
        <v>2319</v>
      </c>
      <c r="EW55" s="8">
        <v>27</v>
      </c>
      <c r="EZ55" s="37" t="s">
        <v>63</v>
      </c>
      <c r="FA55" s="8">
        <v>672</v>
      </c>
      <c r="FB55" s="8">
        <v>113.3</v>
      </c>
      <c r="FC55" s="8">
        <v>558.70000000000005</v>
      </c>
      <c r="FD55" s="8">
        <v>0</v>
      </c>
      <c r="FE55" s="6">
        <f t="shared" si="985"/>
        <v>0</v>
      </c>
      <c r="FF55" s="8">
        <v>0</v>
      </c>
      <c r="FG55" s="6">
        <f t="shared" si="986"/>
        <v>0</v>
      </c>
      <c r="FH55" s="6">
        <v>0</v>
      </c>
      <c r="FI55" s="6">
        <f t="shared" si="987"/>
        <v>0</v>
      </c>
      <c r="FJ55" s="8">
        <v>0</v>
      </c>
      <c r="FK55" s="69">
        <f t="shared" si="988"/>
        <v>0.90322580645161288</v>
      </c>
      <c r="FL55" s="69">
        <f t="shared" si="989"/>
        <v>1</v>
      </c>
      <c r="FM55" s="149">
        <f t="shared" si="990"/>
        <v>0</v>
      </c>
      <c r="FN55" s="149">
        <f t="shared" si="991"/>
        <v>0</v>
      </c>
      <c r="FO55" s="69">
        <f t="shared" si="992"/>
        <v>0.1423611111111111</v>
      </c>
      <c r="FP55" s="6"/>
      <c r="FQ55" s="6">
        <f t="shared" si="993"/>
        <v>672</v>
      </c>
      <c r="FR55" s="19">
        <v>2583</v>
      </c>
      <c r="FS55" s="8">
        <v>27</v>
      </c>
      <c r="FV55" s="37" t="s">
        <v>63</v>
      </c>
      <c r="FW55" s="8">
        <v>744</v>
      </c>
      <c r="FX55" s="6">
        <v>309.8</v>
      </c>
      <c r="FY55" s="6">
        <v>434.2</v>
      </c>
      <c r="FZ55" s="8">
        <v>0</v>
      </c>
      <c r="GA55" s="69">
        <f>(FZ55/$FV$4)</f>
        <v>0</v>
      </c>
      <c r="GB55" s="8">
        <v>0</v>
      </c>
      <c r="GC55" s="69">
        <f t="shared" si="994"/>
        <v>0</v>
      </c>
      <c r="GD55" s="6">
        <v>0</v>
      </c>
      <c r="GE55" s="6">
        <f t="shared" si="995"/>
        <v>0</v>
      </c>
      <c r="GF55" s="8">
        <v>0</v>
      </c>
      <c r="GG55" s="69">
        <f t="shared" si="996"/>
        <v>1</v>
      </c>
      <c r="GH55" s="69">
        <f t="shared" si="997"/>
        <v>1</v>
      </c>
      <c r="GI55" s="149">
        <f t="shared" si="998"/>
        <v>0</v>
      </c>
      <c r="GJ55" s="149">
        <f t="shared" si="999"/>
        <v>0</v>
      </c>
      <c r="GK55" s="69">
        <f t="shared" si="1000"/>
        <v>0.39222421346077257</v>
      </c>
      <c r="GL55" s="69"/>
      <c r="GM55" s="6">
        <f t="shared" si="1001"/>
        <v>744</v>
      </c>
      <c r="GN55" s="19">
        <v>7879</v>
      </c>
      <c r="GO55" s="8">
        <v>27</v>
      </c>
      <c r="GR55" s="37" t="s">
        <v>63</v>
      </c>
      <c r="GS55" s="8">
        <v>702</v>
      </c>
      <c r="GT55" s="8">
        <v>531.29999999999995</v>
      </c>
      <c r="GU55" s="8">
        <v>170.7</v>
      </c>
      <c r="GV55" s="8">
        <v>18</v>
      </c>
      <c r="GW55" s="6">
        <f t="shared" si="1002"/>
        <v>2.5000000000000001E-2</v>
      </c>
      <c r="GX55" s="8">
        <v>0</v>
      </c>
      <c r="GY55" s="6">
        <f t="shared" si="1003"/>
        <v>0</v>
      </c>
      <c r="GZ55" s="6">
        <v>0</v>
      </c>
      <c r="HA55" s="6">
        <f t="shared" si="1004"/>
        <v>0</v>
      </c>
      <c r="HB55" s="8">
        <v>0</v>
      </c>
      <c r="HC55" s="69">
        <f t="shared" si="1005"/>
        <v>0.94354838709677424</v>
      </c>
      <c r="HD55" s="69">
        <f>((GS55-HB55)/$GR$4)</f>
        <v>0.97499999999999998</v>
      </c>
      <c r="HE55" s="149">
        <f t="shared" si="1006"/>
        <v>3.2768978700163848E-2</v>
      </c>
      <c r="HF55" s="149">
        <f>HB55/$GR$4</f>
        <v>0</v>
      </c>
      <c r="HG55" s="69">
        <f t="shared" si="1007"/>
        <v>0.61682098765432103</v>
      </c>
      <c r="HH55" s="15">
        <v>0</v>
      </c>
      <c r="HI55" s="6">
        <f t="shared" si="1008"/>
        <v>720</v>
      </c>
      <c r="HJ55" s="43">
        <v>11991</v>
      </c>
      <c r="HK55" s="8">
        <v>27</v>
      </c>
      <c r="HN55" s="37" t="s">
        <v>63</v>
      </c>
      <c r="HO55" s="8">
        <v>576</v>
      </c>
      <c r="HP55" s="6">
        <v>180.5</v>
      </c>
      <c r="HQ55" s="8">
        <v>395.5</v>
      </c>
      <c r="HR55" s="8">
        <v>168</v>
      </c>
      <c r="HS55" s="6">
        <f>(HR55/$HN$4)</f>
        <v>0.22580645161290322</v>
      </c>
      <c r="HT55" s="8">
        <v>0</v>
      </c>
      <c r="HU55" s="6">
        <f t="shared" si="1009"/>
        <v>0</v>
      </c>
      <c r="HV55" s="8">
        <v>0</v>
      </c>
      <c r="HW55" s="6">
        <f t="shared" si="1010"/>
        <v>0</v>
      </c>
      <c r="HX55" s="8">
        <v>0</v>
      </c>
      <c r="HY55" s="69">
        <f t="shared" si="1011"/>
        <v>0.77419354838709675</v>
      </c>
      <c r="HZ55" s="69">
        <f t="shared" si="1012"/>
        <v>0.77419354838709675</v>
      </c>
      <c r="IA55" s="69">
        <f t="shared" si="1013"/>
        <v>0.48206599713055953</v>
      </c>
      <c r="IB55" s="149">
        <f t="shared" si="1014"/>
        <v>0</v>
      </c>
      <c r="IC55" s="69">
        <f t="shared" si="1015"/>
        <v>0.18010752688172044</v>
      </c>
      <c r="ID55" s="15">
        <v>0</v>
      </c>
      <c r="IE55" s="6">
        <f t="shared" si="1016"/>
        <v>744</v>
      </c>
      <c r="IF55" s="19">
        <v>3618</v>
      </c>
      <c r="IG55" s="8">
        <v>27</v>
      </c>
      <c r="IJ55" s="37" t="s">
        <v>63</v>
      </c>
      <c r="IK55" s="8">
        <v>720</v>
      </c>
      <c r="IL55" s="8">
        <v>144.4</v>
      </c>
      <c r="IM55" s="8">
        <v>575.6</v>
      </c>
      <c r="IN55" s="8">
        <v>0</v>
      </c>
      <c r="IO55" s="69">
        <f t="shared" si="1017"/>
        <v>0</v>
      </c>
      <c r="IP55" s="8">
        <v>0</v>
      </c>
      <c r="IQ55" s="69">
        <f>(IP55/$IJ$4)</f>
        <v>0</v>
      </c>
      <c r="IR55" s="8">
        <v>0</v>
      </c>
      <c r="IS55" s="69">
        <f>(IR55/$IJ$4)</f>
        <v>0</v>
      </c>
      <c r="IT55" s="8">
        <v>0</v>
      </c>
      <c r="IU55" s="69">
        <f>(IK55/$IJ$4)</f>
        <v>1</v>
      </c>
      <c r="IV55" s="164">
        <f>((IK55-IT55)/$IJ$4)</f>
        <v>1</v>
      </c>
      <c r="IW55" s="164">
        <f>IF((AND(IL55=0,IN55=0)),0,(IN55+IT55)/(IL55+IN55+IT55))</f>
        <v>0</v>
      </c>
      <c r="IX55" s="149">
        <f t="shared" si="1018"/>
        <v>0</v>
      </c>
      <c r="IY55" s="69">
        <f>(JB55/($IJ$4*JC55))</f>
        <v>0.17530864197530865</v>
      </c>
      <c r="IZ55" s="15">
        <v>0</v>
      </c>
      <c r="JA55" s="15">
        <f t="shared" si="1019"/>
        <v>720</v>
      </c>
      <c r="JB55" s="46">
        <v>3408</v>
      </c>
      <c r="JC55" s="8">
        <v>27</v>
      </c>
    </row>
    <row r="56" spans="1:263" ht="15" x14ac:dyDescent="0.25">
      <c r="B56" s="24" t="s">
        <v>39</v>
      </c>
      <c r="C56" s="98">
        <f>SUM(C53:C55)</f>
        <v>2232</v>
      </c>
      <c r="D56" s="25">
        <f t="shared" ref="D56:L56" si="1033">SUM(D53:D55)</f>
        <v>78.100000000000009</v>
      </c>
      <c r="E56" s="98">
        <f t="shared" si="1033"/>
        <v>2153.8999999999996</v>
      </c>
      <c r="F56" s="25">
        <f t="shared" si="1033"/>
        <v>0</v>
      </c>
      <c r="G56" s="78">
        <f>(G53*U53+G54*U54+G55*U55)/U56</f>
        <v>0</v>
      </c>
      <c r="H56" s="25">
        <f t="shared" si="1033"/>
        <v>0</v>
      </c>
      <c r="I56" s="78">
        <f>(I53*U53+I54*U54+I55*U55)/U56</f>
        <v>0</v>
      </c>
      <c r="J56" s="26">
        <f>SUM(J53:J55)</f>
        <v>0</v>
      </c>
      <c r="K56" s="78">
        <f>(K53*U53+K54*U54+K55*U55)/U56</f>
        <v>0</v>
      </c>
      <c r="L56" s="25">
        <f t="shared" si="1033"/>
        <v>0</v>
      </c>
      <c r="M56" s="78">
        <f>(M53*U53+M54*U54+M55*U55)/U56</f>
        <v>1</v>
      </c>
      <c r="N56" s="81">
        <f>(N53*U53+N54*U54+N55*U55)/U56</f>
        <v>1</v>
      </c>
      <c r="O56" s="81">
        <f>(O53*U53+O54*U54+O55*U55)/U56</f>
        <v>0</v>
      </c>
      <c r="P56" s="81">
        <f>(P53*U53+P54*U54+P55*U55)/U56</f>
        <v>0</v>
      </c>
      <c r="Q56" s="81">
        <f>(Q53*U53+Q54*U54+Q55*U55)/U56</f>
        <v>2.6931501393866981E-2</v>
      </c>
      <c r="R56" s="25">
        <f t="shared" ref="R56" si="1034">SUM(R53:R55)</f>
        <v>0</v>
      </c>
      <c r="S56" s="30">
        <f>SUM(S53:S55)</f>
        <v>2232</v>
      </c>
      <c r="T56" s="44">
        <f>SUM(T53:T55)</f>
        <v>1623</v>
      </c>
      <c r="U56" s="25">
        <f>SUM(U53:U55)</f>
        <v>81</v>
      </c>
      <c r="X56" s="32" t="s">
        <v>39</v>
      </c>
      <c r="Y56" s="29">
        <f>SUM(Y53:Y55)</f>
        <v>2232</v>
      </c>
      <c r="Z56" s="29">
        <f t="shared" ref="Z56" si="1035">SUM(Z53:Z55)</f>
        <v>678.19999999999993</v>
      </c>
      <c r="AA56" s="29">
        <f>SUM(AA53:AA55)</f>
        <v>1553.8000000000002</v>
      </c>
      <c r="AB56" s="29">
        <f t="shared" ref="AB56:AH56" si="1036">SUM(AB53:AB55)</f>
        <v>0</v>
      </c>
      <c r="AC56" s="79">
        <f>(AC53*AQ53+AC54*AQ54+AC55*AQ55)/AQ56</f>
        <v>0</v>
      </c>
      <c r="AD56" s="29">
        <f t="shared" si="1036"/>
        <v>0</v>
      </c>
      <c r="AE56" s="79">
        <f>(AE53*AQ53+AE54*AQ54+AE55*AQ55)/AQ56</f>
        <v>0</v>
      </c>
      <c r="AF56" s="30">
        <f>SUM(AF53:AF55)</f>
        <v>0</v>
      </c>
      <c r="AG56" s="79">
        <f>(AG53*AQ53+AG54*AQ54+AG55*AQ55)/AQ56</f>
        <v>0</v>
      </c>
      <c r="AH56" s="29">
        <f t="shared" si="1036"/>
        <v>0</v>
      </c>
      <c r="AI56" s="78">
        <f>(AI53*AQ53+AI54*AQ54+AI55*AQ55)/AQ56</f>
        <v>1</v>
      </c>
      <c r="AJ56" s="79">
        <f>(AJ53*AQ53+AJ54*AQ54+AJ55*AQ55)/AQ56</f>
        <v>1</v>
      </c>
      <c r="AK56" s="79">
        <f>(AK53*AQ53+AK54*AQ54+AK55*AQ55)/AQ56</f>
        <v>0</v>
      </c>
      <c r="AL56" s="79"/>
      <c r="AM56" s="81">
        <f>(AM53*AQ53+AM54*AQ54+AM55*AQ55)/AQ56</f>
        <v>0.2675726802070888</v>
      </c>
      <c r="AN56" s="29">
        <f t="shared" ref="AN56" si="1037">SUM(AN53:AN55)</f>
        <v>0</v>
      </c>
      <c r="AO56" s="30">
        <f>SUM(AO53:AO55)</f>
        <v>2232</v>
      </c>
      <c r="AP56" s="34">
        <f>SUM(AP53:AP55)</f>
        <v>16125</v>
      </c>
      <c r="AQ56" s="29">
        <f>SUM(AQ53:AQ55)</f>
        <v>81</v>
      </c>
      <c r="AT56" s="32" t="s">
        <v>39</v>
      </c>
      <c r="AU56" s="98">
        <f>SUM(AU53:AU55)</f>
        <v>2144</v>
      </c>
      <c r="AV56" s="25">
        <f t="shared" ref="AV56:BD56" si="1038">SUM(AV53:AV55)</f>
        <v>518.09999999999991</v>
      </c>
      <c r="AW56" s="98">
        <f>SUM(AW53:AW55)</f>
        <v>1625.8999999999999</v>
      </c>
      <c r="AX56" s="25">
        <f t="shared" si="1038"/>
        <v>16</v>
      </c>
      <c r="AY56" s="26">
        <f>(AY53*BM53+AY54*BM54+AY55*BM55)/BM56</f>
        <v>7.4074074074074068E-3</v>
      </c>
      <c r="AZ56" s="25">
        <f t="shared" si="1038"/>
        <v>0</v>
      </c>
      <c r="BA56" s="26">
        <f>(BA53*BM53+BA54*BM54+BA55*BM55)/BM56</f>
        <v>0</v>
      </c>
      <c r="BB56" s="26">
        <f>SUM(BB53:BB55)</f>
        <v>0</v>
      </c>
      <c r="BC56" s="30">
        <f>(BC53*BM53+BC54*BM54+BC55*BM55)/BM56</f>
        <v>0</v>
      </c>
      <c r="BD56" s="25">
        <f t="shared" si="1038"/>
        <v>0</v>
      </c>
      <c r="BE56" s="78">
        <f>(BE53*BM53+BE54*BM54+BE55*BM55)/BM56</f>
        <v>0.99259259259259269</v>
      </c>
      <c r="BF56" s="81">
        <f>(BF53*BM53+BF54*BM54+BF55*BM55)/BM56</f>
        <v>0.99259259259259269</v>
      </c>
      <c r="BG56" s="81">
        <f>(BG53*BM53+BG54*BM54+BG55*BM55)/BM56</f>
        <v>3.5041611914148056E-2</v>
      </c>
      <c r="BH56" s="80"/>
      <c r="BI56" s="81">
        <f>(BI53*BM53+BI54*BM54+BI55*BM55)/BM56</f>
        <v>0.22402263374485601</v>
      </c>
      <c r="BJ56" s="149"/>
      <c r="BK56" s="30">
        <f>SUM(BK53:BK55)</f>
        <v>2160</v>
      </c>
      <c r="BL56" s="34">
        <f>SUM(BL53:BL55)</f>
        <v>13065</v>
      </c>
      <c r="BM56" s="29">
        <f>SUM(BM53:BM55)</f>
        <v>81</v>
      </c>
      <c r="BP56" s="32" t="s">
        <v>39</v>
      </c>
      <c r="BQ56" s="25">
        <f>SUM(BQ53:BQ55)</f>
        <v>2112</v>
      </c>
      <c r="BR56" s="25">
        <f t="shared" ref="BR56:BZ56" si="1039">SUM(BR53:BR55)</f>
        <v>551.70000000000005</v>
      </c>
      <c r="BS56" s="25">
        <f>SUM(BS53:BS55)</f>
        <v>1560.3</v>
      </c>
      <c r="BT56" s="25">
        <f t="shared" si="1039"/>
        <v>120</v>
      </c>
      <c r="BU56" s="78">
        <f>(BU53*CI53+BU54*CI54+BU55*CI55)/CI56</f>
        <v>5.3763440860215048E-2</v>
      </c>
      <c r="BV56" s="25">
        <f t="shared" si="1039"/>
        <v>0</v>
      </c>
      <c r="BW56" s="78">
        <f>(BW53*CI53+BW54*CI54+BW55*CI55)/CI56</f>
        <v>0</v>
      </c>
      <c r="BX56" s="26">
        <f>SUM(BX53:BX55)</f>
        <v>0</v>
      </c>
      <c r="BY56" s="79">
        <f>(BY53*CI53+BY54*CI54+BY55*CI55)/CI56</f>
        <v>0</v>
      </c>
      <c r="BZ56" s="25">
        <f t="shared" si="1039"/>
        <v>0</v>
      </c>
      <c r="CA56" s="78">
        <f>(CA53*CI53+CA54*CI54+CA55*CI55)/CI56</f>
        <v>0.94623655913978488</v>
      </c>
      <c r="CB56" s="81">
        <f>(CB53*CI53+CB54*CI54+CB55*CI55)/CI56</f>
        <v>0.94623655913978488</v>
      </c>
      <c r="CC56" s="81">
        <f>(CC53*CI53+CC54*CI54+CC55*CI55)/CI56</f>
        <v>0.13591573224600748</v>
      </c>
      <c r="CD56" s="81"/>
      <c r="CE56" s="81">
        <f>(CE53*CI53+CE54*CI54+CE55*CI55)/CI56</f>
        <v>0.2266693216514005</v>
      </c>
      <c r="CF56" s="149"/>
      <c r="CG56" s="33">
        <f>SUM(CG53:CG55)</f>
        <v>2232</v>
      </c>
      <c r="CH56" s="34">
        <f>SUM(CH53:CH55)</f>
        <v>13660</v>
      </c>
      <c r="CI56" s="29">
        <f>SUM(CI53:CI55)</f>
        <v>81</v>
      </c>
      <c r="CL56" s="32" t="s">
        <v>39</v>
      </c>
      <c r="CM56" s="25">
        <f>SUM(CM53:CM55)</f>
        <v>2158</v>
      </c>
      <c r="CN56" s="25">
        <f t="shared" ref="CN56:CV56" si="1040">SUM(CN53:CN55)</f>
        <v>198.08</v>
      </c>
      <c r="CO56" s="25">
        <f>SUM(CO53:CO55)</f>
        <v>1959.92</v>
      </c>
      <c r="CP56" s="25">
        <f t="shared" si="1040"/>
        <v>2</v>
      </c>
      <c r="CQ56" s="78">
        <f>(CQ53*DE53+CQ54*DE54+CQ55*DE55)/DE56</f>
        <v>9.2592592592592585E-4</v>
      </c>
      <c r="CR56" s="25">
        <f t="shared" si="1040"/>
        <v>0</v>
      </c>
      <c r="CS56" s="78">
        <f>(CS53*DE53+CS54*DE54+CS55*DE55)/DE56</f>
        <v>0</v>
      </c>
      <c r="CT56" s="26">
        <f>SUM(CT53:CT55)</f>
        <v>0</v>
      </c>
      <c r="CU56" s="78">
        <f>(CU53*DE53+CU54*DE54+CU55*DE55)/DE56</f>
        <v>0</v>
      </c>
      <c r="CV56" s="25">
        <f t="shared" si="1040"/>
        <v>0</v>
      </c>
      <c r="CW56" s="78">
        <f>(CW53*DE53+CW54*DE54+CW55*DE55)/DE56</f>
        <v>0.999074074074074</v>
      </c>
      <c r="CX56" s="81">
        <f>(CX53*DE53+CX54*DE54+CX55*DE55)/DE56</f>
        <v>0.999074074074074</v>
      </c>
      <c r="CY56" s="81">
        <f>(CY53*DE53+CY54*DE54+CY55*DE55)/DE56</f>
        <v>9.8867961836966722E-3</v>
      </c>
      <c r="CZ56" s="81"/>
      <c r="DA56" s="81">
        <f>(DA53*DE53+DA54*DE54+DA55*DE55)/DE56</f>
        <v>8.2698902606310007E-2</v>
      </c>
      <c r="DB56" s="149"/>
      <c r="DC56" s="30">
        <f>SUM(DC53:DC55)</f>
        <v>2160</v>
      </c>
      <c r="DD56" s="33">
        <f>SUM(DD53:DD55)</f>
        <v>4823</v>
      </c>
      <c r="DE56" s="29">
        <f>SUM(DE53:DE55)</f>
        <v>81</v>
      </c>
      <c r="DH56" s="32" t="s">
        <v>39</v>
      </c>
      <c r="DI56" s="27">
        <f>SUM(DI53:DI55)</f>
        <v>2218</v>
      </c>
      <c r="DJ56" s="25">
        <f t="shared" ref="DJ56:DR56" si="1041">SUM(DJ53:DJ55)</f>
        <v>309.72000000000003</v>
      </c>
      <c r="DK56" s="98">
        <f>SUM(DK53:DK55)</f>
        <v>1908.2800000000002</v>
      </c>
      <c r="DL56" s="25">
        <f t="shared" si="1041"/>
        <v>14</v>
      </c>
      <c r="DM56" s="78">
        <f>(DM53*EA53+DM54*EA54+DM55*EA55)/EA56</f>
        <v>6.2724014336917565E-3</v>
      </c>
      <c r="DN56" s="25">
        <f t="shared" si="1041"/>
        <v>0</v>
      </c>
      <c r="DO56" s="78">
        <f>(DO53*EA53+DO54*EA54+DO55*EA55)/EA56</f>
        <v>0</v>
      </c>
      <c r="DP56" s="26">
        <f>SUM(DP53:DP55)</f>
        <v>0</v>
      </c>
      <c r="DQ56" s="79">
        <f>(DQ53*EA53+DQ54*EA54+DQ55*EA55)/EA56</f>
        <v>0</v>
      </c>
      <c r="DR56" s="25">
        <f t="shared" si="1041"/>
        <v>0</v>
      </c>
      <c r="DS56" s="78">
        <f>(DS53*EA53+DS54*EA54+DS55*EA55)/EA56</f>
        <v>0.99372759856630821</v>
      </c>
      <c r="DT56" s="81">
        <f>(DT53*EA53+DT54*EA54+DT55*EA55)/EA56</f>
        <v>0.99372759856630821</v>
      </c>
      <c r="DU56" s="81">
        <f>(DU53*EA53+DU54*EA54+DU55*EA55)/EA56</f>
        <v>4.1416604282535865E-2</v>
      </c>
      <c r="DV56" s="81">
        <f>(DV53*EA53+DV54*EA54+DV55*EA55)/EA56</f>
        <v>0</v>
      </c>
      <c r="DW56" s="81">
        <f>(DW53*EA53+DW54*EA54+DW55*EA55)/EA56</f>
        <v>0.12884972786406479</v>
      </c>
      <c r="DX56" s="149"/>
      <c r="DY56" s="31">
        <f>SUM(DY53:DY55)</f>
        <v>2232</v>
      </c>
      <c r="DZ56" s="39">
        <f>SUM(DZ53:DZ55)</f>
        <v>7765</v>
      </c>
      <c r="EA56" s="29">
        <f>SUM(EA53:EA55)</f>
        <v>81</v>
      </c>
      <c r="ED56" s="32" t="s">
        <v>39</v>
      </c>
      <c r="EE56" s="25">
        <f>SUM(EE53:EE55)</f>
        <v>1854</v>
      </c>
      <c r="EF56" s="25">
        <f t="shared" ref="EF56:EN56" si="1042">SUM(EF53:EF55)</f>
        <v>289</v>
      </c>
      <c r="EG56" s="25">
        <f>SUM(EG53:EG55)</f>
        <v>1565</v>
      </c>
      <c r="EH56" s="25">
        <f t="shared" si="1042"/>
        <v>378</v>
      </c>
      <c r="EI56" s="78">
        <f>(EI53*EW53+EI54*EW54+EI55*EW55)/EW56</f>
        <v>0.16935483870967744</v>
      </c>
      <c r="EJ56" s="25">
        <f t="shared" si="1042"/>
        <v>0</v>
      </c>
      <c r="EK56" s="78">
        <f>(EK53*EW53+EK54*EW54+EK55*EW55)/EW56</f>
        <v>0</v>
      </c>
      <c r="EL56" s="26">
        <f>SUM(EL53:EL55)</f>
        <v>0</v>
      </c>
      <c r="EM56" s="79">
        <f>(EM53*EW53+EM54*EW54+EM55*EW55)/EW56</f>
        <v>0</v>
      </c>
      <c r="EN56" s="25">
        <f t="shared" si="1042"/>
        <v>0</v>
      </c>
      <c r="EO56" s="78">
        <f>(EO53*EW53+EO54*EW54+EO55*EW55)/EW56</f>
        <v>0.83064516129032262</v>
      </c>
      <c r="EP56" s="81">
        <f>(EP53*EW53+EP54*EW54+EP55*EW55)/EW56</f>
        <v>0.83064516129032262</v>
      </c>
      <c r="EQ56" s="81">
        <f>(EQ53*EW53+EQ54*EW54+EQ55*EW55)/EW56</f>
        <v>0.33593940477544981</v>
      </c>
      <c r="ER56" s="81"/>
      <c r="ES56" s="81">
        <f>(ES53*EW53+ES54*EW54+ES55*EW55)/EW56</f>
        <v>11.361675295367052</v>
      </c>
      <c r="ET56" s="18"/>
      <c r="EU56" s="30">
        <f>SUM(EU53:EU55)</f>
        <v>2232</v>
      </c>
      <c r="EV56" s="34">
        <f>SUM(EV53:EV55)</f>
        <v>6847</v>
      </c>
      <c r="EW56" s="29">
        <f>SUM(EW53:EW55)</f>
        <v>81</v>
      </c>
      <c r="EZ56" s="24" t="s">
        <v>39</v>
      </c>
      <c r="FA56" s="25">
        <f>SUM(FA53:FA55)</f>
        <v>1968</v>
      </c>
      <c r="FB56" s="25">
        <f t="shared" ref="FB56:FJ56" si="1043">SUM(FB53:FB55)</f>
        <v>318.10000000000002</v>
      </c>
      <c r="FC56" s="25">
        <f>SUM(FC53:FC55)</f>
        <v>1649.8999999999999</v>
      </c>
      <c r="FD56" s="25">
        <f t="shared" si="1043"/>
        <v>48</v>
      </c>
      <c r="FE56" s="78">
        <f>(FE53*FS53+FE54*FS54+FE55*FS55)/FS56</f>
        <v>2.3809523809523808E-2</v>
      </c>
      <c r="FF56" s="25">
        <f t="shared" si="1043"/>
        <v>0</v>
      </c>
      <c r="FG56" s="78">
        <f>(FG53*FS53+FG54*FS54+FG55*FS55)/FS56</f>
        <v>0</v>
      </c>
      <c r="FH56" s="26">
        <f>SUM(FH53:FH55)</f>
        <v>0</v>
      </c>
      <c r="FI56" s="79">
        <f>(FI53*FS53+FI54*FS54+FI55*FS55)/FS56</f>
        <v>0</v>
      </c>
      <c r="FJ56" s="25">
        <f t="shared" si="1043"/>
        <v>0</v>
      </c>
      <c r="FK56" s="78">
        <f>(FK53*FS53+FK54*FS54+FK55*FS55)/FS56</f>
        <v>0.88172043010752688</v>
      </c>
      <c r="FL56" s="81">
        <f>(FL53*FS53+FL54*FS54+FL55*FS55)/FS56</f>
        <v>0.97619047619047616</v>
      </c>
      <c r="FM56" s="81">
        <f>(FM53*FS53+FM54*FS54+FM55*FS55)/FS56</f>
        <v>0.12066365007541477</v>
      </c>
      <c r="FN56" s="81"/>
      <c r="FO56" s="81">
        <f>(FO53*FS53+FO54*FS54+FO55*FS55)/FS56</f>
        <v>0.14936067019400354</v>
      </c>
      <c r="FP56" s="149"/>
      <c r="FQ56" s="30">
        <f>SUM(FQ53:FQ55)</f>
        <v>2016</v>
      </c>
      <c r="FR56" s="34">
        <f>SUM(FR53:FR55)</f>
        <v>8130</v>
      </c>
      <c r="FS56" s="29">
        <f>SUM(FS53:FS55)</f>
        <v>81</v>
      </c>
      <c r="FV56" s="32" t="s">
        <v>39</v>
      </c>
      <c r="FW56" s="25">
        <f>SUM(FW53:FW55)</f>
        <v>2232</v>
      </c>
      <c r="FX56" s="25">
        <f t="shared" ref="FX56:GF56" si="1044">SUM(FX53:FX55)</f>
        <v>939.59999999999991</v>
      </c>
      <c r="FY56" s="98">
        <f>SUM(FY53:FY55)</f>
        <v>1292.4000000000001</v>
      </c>
      <c r="FZ56" s="25">
        <f t="shared" si="1044"/>
        <v>0</v>
      </c>
      <c r="GA56" s="78">
        <f>(GA53*GO53+GA54*GO54+GA55*GO55)/GO56</f>
        <v>0</v>
      </c>
      <c r="GB56" s="25">
        <f t="shared" si="1044"/>
        <v>0</v>
      </c>
      <c r="GC56" s="78">
        <f>(GC53*GO53+GC54*GO54+GC55*GO55)/GO56</f>
        <v>0</v>
      </c>
      <c r="GD56" s="26">
        <f>SUM(GD53:GD55)</f>
        <v>0</v>
      </c>
      <c r="GE56" s="79">
        <f>(GE53*GO53+GE54*GO54+GE55*GO55)/GO56</f>
        <v>0</v>
      </c>
      <c r="GF56" s="25">
        <f t="shared" si="1044"/>
        <v>0</v>
      </c>
      <c r="GG56" s="78">
        <f>(GG53*GO53+GG54*GO54+GG55*GO55)/GO56</f>
        <v>1</v>
      </c>
      <c r="GH56" s="81">
        <f>(GH53*GO53+GH54*GO54+GH55*GO55)/GO56</f>
        <v>1</v>
      </c>
      <c r="GI56" s="81">
        <f>(GI53*GO53+GI54*GO54+GI55*GO55)/GO56</f>
        <v>0</v>
      </c>
      <c r="GJ56" s="81">
        <f>(GJ53*GO53+GJ54*GO54+GJ55*GO55)/GO56</f>
        <v>0</v>
      </c>
      <c r="GK56" s="81">
        <f>(GK53*GO53+GK54*GO54+GK55*GO55)/GO56</f>
        <v>0.41762909863268288</v>
      </c>
      <c r="GL56" s="149"/>
      <c r="GM56" s="30">
        <f>SUM(GM53:GM55)</f>
        <v>2232</v>
      </c>
      <c r="GN56" s="34">
        <f>SUM(GN53:GN55)</f>
        <v>25168</v>
      </c>
      <c r="GO56" s="29">
        <f>SUM(GO53:GO55)</f>
        <v>81</v>
      </c>
      <c r="GR56" s="32" t="s">
        <v>39</v>
      </c>
      <c r="GS56" s="115">
        <f>SUM(GS53:GS55)</f>
        <v>1950</v>
      </c>
      <c r="GT56" s="115">
        <f t="shared" ref="GT56:HB56" si="1045">SUM(GT53:GT55)</f>
        <v>1401.6</v>
      </c>
      <c r="GU56" s="115">
        <f>SUM(GU53:GU55)</f>
        <v>548.4</v>
      </c>
      <c r="GV56" s="115">
        <f t="shared" si="1045"/>
        <v>210</v>
      </c>
      <c r="GW56" s="116">
        <f>(GW53*HK53+GW54*HK54+GW55*HK55)/HK56</f>
        <v>9.7222222222222224E-2</v>
      </c>
      <c r="GX56" s="115">
        <f t="shared" si="1045"/>
        <v>0</v>
      </c>
      <c r="GY56" s="116">
        <f>(GY53*HK53+GY54*HK54+GY55*HK55)/HK56</f>
        <v>0</v>
      </c>
      <c r="GZ56" s="117">
        <f>SUM(GZ53:GZ55)</f>
        <v>0</v>
      </c>
      <c r="HA56" s="116">
        <f>(HA53*HK53+HA54*HK54+HA55*HK55)/HK56</f>
        <v>0</v>
      </c>
      <c r="HB56" s="115">
        <f t="shared" si="1045"/>
        <v>0</v>
      </c>
      <c r="HC56" s="116">
        <f>(HC53*HK53+HC54*HK54+HC55*HK55)/HK56</f>
        <v>0.87365591397849462</v>
      </c>
      <c r="HD56" s="119">
        <f>(HD53*HK53+HD54*HK54+HD55*HK55)/HK56</f>
        <v>0.90277777777777779</v>
      </c>
      <c r="HE56" s="119">
        <f>(HE53*HK53+HE54*HK54+HE55*HK55)/HK56</f>
        <v>0.14383307374024576</v>
      </c>
      <c r="HF56" s="119">
        <f>(HF53*HK53+HF54*HK54+HF55*HK55)/HK56</f>
        <v>0</v>
      </c>
      <c r="HG56" s="121">
        <f>(HG53*HK53+HG54*HK54+HG55*HK55)/HK56</f>
        <v>0.62139917695473257</v>
      </c>
      <c r="HH56" s="115">
        <f t="shared" ref="HH56" si="1046">SUM(HH53:HH55)</f>
        <v>0</v>
      </c>
      <c r="HI56" s="120">
        <f>SUM(HI53:HI55)</f>
        <v>2160</v>
      </c>
      <c r="HJ56" s="125">
        <f>SUM(HJ53:HJ55)</f>
        <v>36240</v>
      </c>
      <c r="HK56" s="48">
        <f>SUM(HK53:HK55)</f>
        <v>81</v>
      </c>
      <c r="HN56" s="32" t="s">
        <v>39</v>
      </c>
      <c r="HO56" s="25">
        <f>SUM(HO53:HO55)</f>
        <v>1200</v>
      </c>
      <c r="HP56" s="25">
        <f t="shared" ref="HP56:HX56" si="1047">SUM(HP53:HP55)</f>
        <v>375.6</v>
      </c>
      <c r="HQ56" s="25">
        <f>SUM(HQ53:HQ55)</f>
        <v>824.4</v>
      </c>
      <c r="HR56" s="25">
        <f t="shared" si="1047"/>
        <v>1032</v>
      </c>
      <c r="HS56" s="78">
        <f>(HS53*IG53+HS54*IG54+HS55*IG55)/IG56</f>
        <v>0.4623655913978495</v>
      </c>
      <c r="HT56" s="25">
        <f t="shared" si="1047"/>
        <v>0</v>
      </c>
      <c r="HU56" s="78">
        <f>(HU53*IG53+HU54*IG54+HU55*IG55)/IG56</f>
        <v>0</v>
      </c>
      <c r="HV56" s="26">
        <f>SUM(HV53:HV55)</f>
        <v>0</v>
      </c>
      <c r="HW56" s="78">
        <f>(HW54*IG54+HW55*IG55)/IG56</f>
        <v>0</v>
      </c>
      <c r="HX56" s="25">
        <f t="shared" si="1047"/>
        <v>0</v>
      </c>
      <c r="HY56" s="78">
        <f>(HY53*IG53+HY54*IG54+HY55*IG55)/IG56</f>
        <v>0.5376344086021505</v>
      </c>
      <c r="HZ56" s="81">
        <f>(HZ53*IG53+HZ54*IG54+HZ55*IG55)/IG56</f>
        <v>0.5376344086021505</v>
      </c>
      <c r="IA56" s="81">
        <f>(IA53*IG53+IA54*IG54+IA55*IG55)/IG56</f>
        <v>0.64789425135338563</v>
      </c>
      <c r="IB56" s="81">
        <f>(IB53*IG53+IB54*IG54+IB55*IG55)/IG56</f>
        <v>0</v>
      </c>
      <c r="IC56" s="80">
        <f>(IC53*IG53+IC54*IG54+IC55*IG55)/IG56</f>
        <v>0.14658834461701845</v>
      </c>
      <c r="ID56" s="25">
        <f t="shared" ref="ID56" si="1048">SUM(ID53:ID55)</f>
        <v>0</v>
      </c>
      <c r="IE56" s="30">
        <f>SUM(IE53:IE55)</f>
        <v>2232</v>
      </c>
      <c r="IF56" s="34">
        <f>SUM(IF53:IF55)</f>
        <v>8834</v>
      </c>
      <c r="IG56" s="29">
        <f>SUM(IG53:IG55)</f>
        <v>81</v>
      </c>
      <c r="IJ56" s="32" t="s">
        <v>84</v>
      </c>
      <c r="IK56" s="29">
        <f>SUM(IK53:IK55)</f>
        <v>2160</v>
      </c>
      <c r="IL56" s="29">
        <f t="shared" ref="IL56" si="1049">SUM(IL53:IL55)</f>
        <v>418</v>
      </c>
      <c r="IM56" s="29">
        <f>SUM(IM53:IM55)</f>
        <v>1742</v>
      </c>
      <c r="IN56" s="29">
        <f t="shared" ref="IN56" si="1050">SUM(IN53:IN55)</f>
        <v>0</v>
      </c>
      <c r="IO56" s="78">
        <f>(IO53*JC53+IO54*JC54+IO55*JC55)/JC56</f>
        <v>0</v>
      </c>
      <c r="IP56" s="29">
        <f t="shared" ref="IP56" si="1051">SUM(IP53:IP55)</f>
        <v>0</v>
      </c>
      <c r="IQ56" s="78">
        <f>(IQ53*JC53+IQ54*JC54+IQ55*JC55)/JC56</f>
        <v>0</v>
      </c>
      <c r="IR56" s="29">
        <f>SUM(IR53:IR55)</f>
        <v>0</v>
      </c>
      <c r="IS56" s="78">
        <f>(IS53*JC53+IS54*JC54+IS55*JC55)/JC56</f>
        <v>0</v>
      </c>
      <c r="IT56" s="29">
        <f t="shared" ref="IT56" si="1052">SUM(IT53:IT55)</f>
        <v>0</v>
      </c>
      <c r="IU56" s="79">
        <f>(IU53*JC53+IU54*JC54+IU55*JC55)/JC56</f>
        <v>1</v>
      </c>
      <c r="IV56" s="80">
        <f>(IV53*JC53+IV54*JC54+IV55*JC55)/JC56</f>
        <v>1</v>
      </c>
      <c r="IW56" s="80">
        <f>(IW53*JC53+IW54*JC54+IW55*JC55)/JC56</f>
        <v>0</v>
      </c>
      <c r="IX56" s="80">
        <f>(IX53*JC53+IX54*JC54+IX55*JC55)/JC56</f>
        <v>0</v>
      </c>
      <c r="IY56" s="80">
        <f>(IY53*JC53+IY54*JC54+IY55*JC55)/JC56</f>
        <v>0.18170438957475993</v>
      </c>
      <c r="IZ56" s="29">
        <f t="shared" ref="IZ56" si="1053">SUM(IZ53:IZ55)</f>
        <v>0</v>
      </c>
      <c r="JA56" s="33">
        <f>SUM(JA53:JA55)</f>
        <v>2160</v>
      </c>
      <c r="JB56" s="47">
        <f>SUM(JB53:JB55)</f>
        <v>10597</v>
      </c>
      <c r="JC56" s="29">
        <f>SUM(JC53:JC55)</f>
        <v>81</v>
      </c>
    </row>
    <row r="57" spans="1:263" ht="15" x14ac:dyDescent="0.2">
      <c r="A57" s="74" t="s">
        <v>64</v>
      </c>
      <c r="B57" s="37" t="s">
        <v>65</v>
      </c>
      <c r="C57" s="8">
        <v>744</v>
      </c>
      <c r="D57" s="8">
        <v>159</v>
      </c>
      <c r="E57" s="8">
        <v>585</v>
      </c>
      <c r="F57" s="8">
        <v>0</v>
      </c>
      <c r="G57" s="6">
        <f>(F57/$B$4)</f>
        <v>0</v>
      </c>
      <c r="H57" s="8">
        <v>0</v>
      </c>
      <c r="I57" s="6">
        <f>(H57/$B$4)</f>
        <v>0</v>
      </c>
      <c r="J57" s="6">
        <v>0</v>
      </c>
      <c r="K57" s="6">
        <f>(J57/$B$4)</f>
        <v>0</v>
      </c>
      <c r="L57" s="8">
        <v>0</v>
      </c>
      <c r="M57" s="69">
        <f>(C57/$B$4)</f>
        <v>1</v>
      </c>
      <c r="N57" s="69">
        <f>((C57-L57)/$B$4)</f>
        <v>1</v>
      </c>
      <c r="O57" s="69">
        <f>IF((AND(D57=0,F57=0)),0,(F57+L57)/(D57+F57+L57))</f>
        <v>0</v>
      </c>
      <c r="P57" s="149">
        <f>L57/$B$4</f>
        <v>0</v>
      </c>
      <c r="Q57" s="69">
        <f>(T57/($B$4*U57))</f>
        <v>0.13390355164548712</v>
      </c>
      <c r="R57" s="15">
        <v>0</v>
      </c>
      <c r="S57" s="6">
        <f>SUM(D57:F57,H57,J57)</f>
        <v>744</v>
      </c>
      <c r="T57" s="85">
        <v>8219</v>
      </c>
      <c r="U57" s="8">
        <v>82.5</v>
      </c>
      <c r="W57" s="74" t="s">
        <v>64</v>
      </c>
      <c r="X57" s="37" t="s">
        <v>65</v>
      </c>
      <c r="Y57" s="41">
        <v>744</v>
      </c>
      <c r="Z57" s="41">
        <v>441</v>
      </c>
      <c r="AA57" s="41">
        <v>303</v>
      </c>
      <c r="AB57" s="8">
        <v>0</v>
      </c>
      <c r="AC57" s="6">
        <f>(AB57/$X$4)</f>
        <v>0</v>
      </c>
      <c r="AD57" s="8">
        <v>0</v>
      </c>
      <c r="AE57" s="6">
        <f>(AD57/$X$4)</f>
        <v>0</v>
      </c>
      <c r="AF57" s="6">
        <v>0</v>
      </c>
      <c r="AG57" s="6">
        <f>(AF57/$X$4)</f>
        <v>0</v>
      </c>
      <c r="AH57" s="8">
        <v>0</v>
      </c>
      <c r="AI57" s="69">
        <f>(Y57/$X$4)</f>
        <v>1</v>
      </c>
      <c r="AJ57" s="69">
        <f>((Y57-AH57)/$X$4)</f>
        <v>1</v>
      </c>
      <c r="AK57" s="69">
        <f>IF((AND(Z57=0,AB57=0)),0,(AB57+AH57)/(Z57+AB57+AH57))</f>
        <v>0</v>
      </c>
      <c r="AL57" s="149">
        <f>AH57/$X$4</f>
        <v>0</v>
      </c>
      <c r="AM57" s="69">
        <f>(AP57/($X$4*AQ57))</f>
        <v>0.41270772238514175</v>
      </c>
      <c r="AN57" s="15">
        <v>0</v>
      </c>
      <c r="AO57" s="6">
        <f>SUM(Z57:AB57,AD57,AF57)</f>
        <v>744</v>
      </c>
      <c r="AP57" s="86">
        <v>25332</v>
      </c>
      <c r="AQ57" s="8">
        <v>82.5</v>
      </c>
      <c r="AS57" s="74" t="s">
        <v>64</v>
      </c>
      <c r="AT57" s="37" t="s">
        <v>65</v>
      </c>
      <c r="AU57" s="8">
        <v>720</v>
      </c>
      <c r="AV57" s="8">
        <v>499.88</v>
      </c>
      <c r="AW57" s="8">
        <v>220.12</v>
      </c>
      <c r="AX57" s="8">
        <v>0</v>
      </c>
      <c r="AY57" s="6">
        <f>(AX57/$AT$4)</f>
        <v>0</v>
      </c>
      <c r="AZ57" s="8">
        <v>0</v>
      </c>
      <c r="BA57" s="6">
        <f>(AZ57/$AT$4)</f>
        <v>0</v>
      </c>
      <c r="BB57" s="8">
        <v>0</v>
      </c>
      <c r="BC57" s="6">
        <f>(BB57/$AT$4)</f>
        <v>0</v>
      </c>
      <c r="BD57" s="8">
        <v>0</v>
      </c>
      <c r="BE57" s="69">
        <f>(AU57/$AT$4)</f>
        <v>1</v>
      </c>
      <c r="BF57" s="69">
        <f>((AU57-BD57)/$AT$4)</f>
        <v>1</v>
      </c>
      <c r="BG57" s="69">
        <f>IF((AND(AV57=0,AX57=0)),0,(AX57+BD57)/(AV57+AX57+BD57))</f>
        <v>0</v>
      </c>
      <c r="BH57" s="149">
        <f>BD57/$AT$4</f>
        <v>0</v>
      </c>
      <c r="BI57" s="69">
        <f>(BL57/($AT$4*BM57))</f>
        <v>0.48813131313131314</v>
      </c>
      <c r="BJ57" s="6"/>
      <c r="BK57" s="6">
        <f>SUM(AV57:AX57,AZ57,BB57)</f>
        <v>720</v>
      </c>
      <c r="BL57" s="86">
        <v>28995</v>
      </c>
      <c r="BM57" s="8">
        <v>82.5</v>
      </c>
      <c r="BO57" s="74" t="s">
        <v>64</v>
      </c>
      <c r="BP57" s="37" t="s">
        <v>65</v>
      </c>
      <c r="BQ57" s="8">
        <v>744</v>
      </c>
      <c r="BR57" s="8">
        <v>420.2</v>
      </c>
      <c r="BS57" s="8">
        <v>323.89999999999998</v>
      </c>
      <c r="BT57" s="8">
        <v>0</v>
      </c>
      <c r="BU57" s="6">
        <f>(BT57/$BP$4)</f>
        <v>0</v>
      </c>
      <c r="BV57" s="8">
        <v>0</v>
      </c>
      <c r="BW57" s="6">
        <f>(BV57/$BP$4)</f>
        <v>0</v>
      </c>
      <c r="BX57" s="8">
        <v>0</v>
      </c>
      <c r="BY57" s="6">
        <f>(BX57/$BP$4)</f>
        <v>0</v>
      </c>
      <c r="BZ57" s="8">
        <v>0</v>
      </c>
      <c r="CA57" s="69">
        <f>(BQ57/$BP$4)</f>
        <v>1</v>
      </c>
      <c r="CB57" s="69">
        <f>((BQ57-BZ57)/$BP$4)</f>
        <v>1</v>
      </c>
      <c r="CC57" s="149">
        <f>IF((AND(BR57=0,BT57=0)),0,(BT57+BZ57)/(BR57+BT57+BZ57))</f>
        <v>0</v>
      </c>
      <c r="CD57" s="149">
        <f>BZ57/$BP$4</f>
        <v>0</v>
      </c>
      <c r="CE57" s="69">
        <f>(CH57/($BP$4*CI57))</f>
        <v>0.40035842293906809</v>
      </c>
      <c r="CF57" s="6"/>
      <c r="CG57" s="42">
        <f>SUM(BR57:BT57,BV57,BX57)</f>
        <v>744.09999999999991</v>
      </c>
      <c r="CH57" s="86">
        <v>24574</v>
      </c>
      <c r="CI57" s="8">
        <v>82.5</v>
      </c>
      <c r="CK57" s="74" t="s">
        <v>64</v>
      </c>
      <c r="CL57" s="37" t="s">
        <v>65</v>
      </c>
      <c r="CM57" s="8">
        <v>492.7</v>
      </c>
      <c r="CN57" s="8">
        <v>106.28</v>
      </c>
      <c r="CO57" s="8">
        <v>386.37</v>
      </c>
      <c r="CP57" s="8">
        <v>76</v>
      </c>
      <c r="CQ57" s="6">
        <f>(CP57/$CL$4)</f>
        <v>0.10555555555555556</v>
      </c>
      <c r="CR57" s="8">
        <v>151.35</v>
      </c>
      <c r="CS57" s="6">
        <f>(CR57/$CL$4)</f>
        <v>0.21020833333333333</v>
      </c>
      <c r="CT57" s="6">
        <v>0</v>
      </c>
      <c r="CU57" s="6">
        <f>(CT57/$CL$4)</f>
        <v>0</v>
      </c>
      <c r="CV57" s="8">
        <v>0</v>
      </c>
      <c r="CW57" s="69">
        <f>(CM57/$CL$4)</f>
        <v>0.6843055555555555</v>
      </c>
      <c r="CX57" s="69">
        <f>((CM57-CV57)/$CL$4)</f>
        <v>0.6843055555555555</v>
      </c>
      <c r="CY57" s="149">
        <f>IF((AND(CN57=0,CP57=0)),0,(CP57+CV57)/(CN57+CP57+CV57))</f>
        <v>0.41694096993636165</v>
      </c>
      <c r="CZ57" s="149">
        <f>CV57/$CL$4</f>
        <v>0</v>
      </c>
      <c r="DA57" s="69">
        <f>(DD57/($CL$4*DE57))</f>
        <v>9.1851851851851851E-2</v>
      </c>
      <c r="DB57" s="6"/>
      <c r="DC57" s="6">
        <f>SUM(CN57:CP57,CR57,CT57)</f>
        <v>720</v>
      </c>
      <c r="DD57" s="42">
        <v>5456</v>
      </c>
      <c r="DE57" s="8">
        <v>82.5</v>
      </c>
      <c r="DG57" s="74" t="s">
        <v>64</v>
      </c>
      <c r="DH57" s="37" t="s">
        <v>65</v>
      </c>
      <c r="DI57" s="8">
        <v>744</v>
      </c>
      <c r="DJ57" s="8">
        <v>332.9</v>
      </c>
      <c r="DK57" s="8">
        <v>411.1</v>
      </c>
      <c r="DL57" s="8">
        <v>0</v>
      </c>
      <c r="DM57" s="69">
        <f>(DL57/$DH$4)</f>
        <v>0</v>
      </c>
      <c r="DN57" s="8">
        <v>0</v>
      </c>
      <c r="DO57" s="69">
        <f>(DN57/$DH$4)</f>
        <v>0</v>
      </c>
      <c r="DP57" s="6">
        <v>0</v>
      </c>
      <c r="DQ57" s="69">
        <f>(DP57/$DH$4)</f>
        <v>0</v>
      </c>
      <c r="DR57" s="8">
        <v>0</v>
      </c>
      <c r="DS57" s="69">
        <f>(DI57/$X$4)</f>
        <v>1</v>
      </c>
      <c r="DT57" s="69">
        <f>((DI57-DR57)/$DH$4)</f>
        <v>1</v>
      </c>
      <c r="DU57" s="149">
        <f>IF((AND(DJ57=0,DL57=0)),0,(DL57+DR57)/(DJ57+DL57+DR57))</f>
        <v>0</v>
      </c>
      <c r="DV57" s="149">
        <f>DR57/$DH$4</f>
        <v>0</v>
      </c>
      <c r="DW57" s="69">
        <f>(DZ57/($DH$4*EA57))</f>
        <v>0.28116650374714891</v>
      </c>
      <c r="DX57" s="69"/>
      <c r="DY57" s="15">
        <f>SUM(DJ57:DL57,DN57,DP57)</f>
        <v>744</v>
      </c>
      <c r="DZ57" s="85">
        <v>17258</v>
      </c>
      <c r="EA57" s="8">
        <v>82.5</v>
      </c>
      <c r="EC57" s="74" t="s">
        <v>64</v>
      </c>
      <c r="ED57" s="37" t="s">
        <v>65</v>
      </c>
      <c r="EE57" s="8">
        <v>744</v>
      </c>
      <c r="EF57" s="8">
        <v>368</v>
      </c>
      <c r="EG57" s="8">
        <v>376</v>
      </c>
      <c r="EH57" s="8">
        <v>0</v>
      </c>
      <c r="EI57" s="6">
        <f>(EH57/$ED$4)</f>
        <v>0</v>
      </c>
      <c r="EJ57" s="8">
        <v>0</v>
      </c>
      <c r="EK57" s="6">
        <f>(EJ57/$ED$4)</f>
        <v>0</v>
      </c>
      <c r="EL57" s="6">
        <v>0</v>
      </c>
      <c r="EM57" s="6">
        <f>(EL57/$ED$4)</f>
        <v>0</v>
      </c>
      <c r="EN57" s="8">
        <v>0</v>
      </c>
      <c r="EO57" s="69">
        <f>(EE57/$X$4)</f>
        <v>1</v>
      </c>
      <c r="EP57" s="69">
        <f>((EE57-EN57)/$ED$4)</f>
        <v>1</v>
      </c>
      <c r="EQ57" s="149">
        <f>IF((AND(EF57=0,EH57=0)),0,(EH57+EN57)/(EF57+EH57+EN57))</f>
        <v>0</v>
      </c>
      <c r="ER57" s="149"/>
      <c r="ES57" s="69">
        <f>(EV57/($ED$4*EW57))*100</f>
        <v>33.80254154447703</v>
      </c>
      <c r="ET57" s="6"/>
      <c r="EU57" s="6">
        <f>SUM(EF57:EH57,EJ57,EL57)</f>
        <v>744</v>
      </c>
      <c r="EV57" s="85">
        <v>20748</v>
      </c>
      <c r="EW57" s="8">
        <v>82.5</v>
      </c>
      <c r="EY57" s="74" t="s">
        <v>64</v>
      </c>
      <c r="EZ57" s="37" t="s">
        <v>65</v>
      </c>
      <c r="FA57" s="8">
        <v>670.9</v>
      </c>
      <c r="FB57" s="8">
        <v>284.98</v>
      </c>
      <c r="FC57" s="8">
        <v>385.87</v>
      </c>
      <c r="FD57" s="8">
        <v>1.1499999999999999</v>
      </c>
      <c r="FE57" s="6">
        <f>(FD57/$EZ$4)</f>
        <v>1.7113095238095236E-3</v>
      </c>
      <c r="FF57" s="8">
        <v>0</v>
      </c>
      <c r="FG57" s="6">
        <f>(FF57/$EZ$4)</f>
        <v>0</v>
      </c>
      <c r="FH57" s="6">
        <v>0</v>
      </c>
      <c r="FI57" s="6">
        <f>(FH57/$EZ$4)</f>
        <v>0</v>
      </c>
      <c r="FJ57" s="8">
        <v>0</v>
      </c>
      <c r="FK57" s="69">
        <f>(FA57/$X$4)</f>
        <v>0.90174731182795698</v>
      </c>
      <c r="FL57" s="69">
        <f>((FA57-FJ57)/$EZ$4)</f>
        <v>0.99836309523809519</v>
      </c>
      <c r="FM57" s="149">
        <f>IF((AND(FB57=0,FD57=0)),0,(FD57+FJ57)/(FB57+FD57+FJ57))</f>
        <v>4.0191521336455458E-3</v>
      </c>
      <c r="FN57" s="149">
        <f>FJ57/$EZ$4</f>
        <v>0</v>
      </c>
      <c r="FO57" s="69">
        <f>(FR57/($EZ$4*FS57))</f>
        <v>0.27463924963924963</v>
      </c>
      <c r="FP57" s="6"/>
      <c r="FQ57" s="6">
        <f>SUM(FB57:FD57,FF57,FH57)</f>
        <v>672</v>
      </c>
      <c r="FR57" s="86">
        <v>15226</v>
      </c>
      <c r="FS57" s="8">
        <v>82.5</v>
      </c>
      <c r="FU57" s="74" t="s">
        <v>64</v>
      </c>
      <c r="FV57" s="37" t="s">
        <v>65</v>
      </c>
      <c r="FW57" s="8">
        <v>738.1</v>
      </c>
      <c r="FX57" s="8">
        <v>452.6</v>
      </c>
      <c r="FY57" s="8">
        <v>285.5</v>
      </c>
      <c r="FZ57" s="8">
        <v>5.9</v>
      </c>
      <c r="GA57" s="69">
        <f>(FZ57/$FV$4)</f>
        <v>7.930107526881721E-3</v>
      </c>
      <c r="GB57" s="8">
        <v>0</v>
      </c>
      <c r="GC57" s="69">
        <f>(GB57/$FV$4)</f>
        <v>0</v>
      </c>
      <c r="GD57" s="6">
        <v>0</v>
      </c>
      <c r="GE57" s="6">
        <f>(GD57/$FV$4)</f>
        <v>0</v>
      </c>
      <c r="GF57" s="8">
        <v>0</v>
      </c>
      <c r="GG57" s="69">
        <f>(FW57/$X$4)</f>
        <v>0.99206989247311828</v>
      </c>
      <c r="GH57" s="69">
        <f>((FW57-GF57)/$FV$4)</f>
        <v>0.99206989247311828</v>
      </c>
      <c r="GI57" s="149">
        <f>IF((AND(FX57=0,FZ57=0)),0,(FZ57+GF57)/(FX57+FZ57+GF57))</f>
        <v>1.2868047982551801E-2</v>
      </c>
      <c r="GJ57" s="149">
        <f>GF57/$FV$4</f>
        <v>0</v>
      </c>
      <c r="GK57" s="69">
        <f>(GN57/($FV$4*GO57))</f>
        <v>0.3962039752362333</v>
      </c>
      <c r="GL57" s="69"/>
      <c r="GM57" s="6">
        <f>SUM(FX57:FZ57,GB57,GD57)</f>
        <v>744</v>
      </c>
      <c r="GN57" s="86">
        <v>24319</v>
      </c>
      <c r="GO57" s="8">
        <v>82.5</v>
      </c>
      <c r="GQ57" s="74" t="s">
        <v>64</v>
      </c>
      <c r="GR57" s="37" t="s">
        <v>65</v>
      </c>
      <c r="GS57" s="8">
        <v>707.58</v>
      </c>
      <c r="GT57" s="8">
        <v>464.9</v>
      </c>
      <c r="GU57" s="8">
        <v>242.68</v>
      </c>
      <c r="GV57" s="8">
        <v>0</v>
      </c>
      <c r="GW57" s="6">
        <f>(GV57/$GR$4)</f>
        <v>0</v>
      </c>
      <c r="GX57" s="8">
        <v>0</v>
      </c>
      <c r="GY57" s="6">
        <f>(GX57/$GR$4)</f>
        <v>0</v>
      </c>
      <c r="GZ57" s="6">
        <v>12.42</v>
      </c>
      <c r="HA57" s="6">
        <f>(GZ57/$GR$4)</f>
        <v>1.7250000000000001E-2</v>
      </c>
      <c r="HB57" s="8">
        <v>0</v>
      </c>
      <c r="HC57" s="69">
        <f>(GS57/$X$4)</f>
        <v>0.95104838709677419</v>
      </c>
      <c r="HD57" s="69">
        <f>((GS57-HB57)/$GR$4)</f>
        <v>0.98275000000000001</v>
      </c>
      <c r="HE57" s="149">
        <f>IF((AND(GT57=0,GV57=0)),0,(GV57+HB57)/(GT57+GV57+HB57))</f>
        <v>0</v>
      </c>
      <c r="HF57" s="149">
        <f>HB57/$GR$4</f>
        <v>0</v>
      </c>
      <c r="HG57" s="69">
        <f>(HJ57/($GR$4*HK57))</f>
        <v>0.45838383838383839</v>
      </c>
      <c r="HH57" s="15">
        <v>0</v>
      </c>
      <c r="HI57" s="6">
        <f>SUM(GT57:GV57,GX57,GZ57)</f>
        <v>719.99999999999989</v>
      </c>
      <c r="HJ57" s="43">
        <v>27228</v>
      </c>
      <c r="HK57" s="8">
        <v>82.5</v>
      </c>
      <c r="HM57" s="74" t="s">
        <v>64</v>
      </c>
      <c r="HN57" s="37" t="s">
        <v>65</v>
      </c>
      <c r="HO57" s="8">
        <v>663.5</v>
      </c>
      <c r="HP57" s="8">
        <v>233.87</v>
      </c>
      <c r="HQ57" s="8">
        <v>429.67</v>
      </c>
      <c r="HR57" s="8">
        <v>0</v>
      </c>
      <c r="HS57" s="6">
        <f>(HR57/$HN$4)</f>
        <v>0</v>
      </c>
      <c r="HT57" s="8">
        <v>80.47</v>
      </c>
      <c r="HU57" s="6">
        <f>(HT57/$HN$4)</f>
        <v>0.10815860215053763</v>
      </c>
      <c r="HV57" s="15">
        <v>0</v>
      </c>
      <c r="HW57" s="6">
        <f>(HV57/$HN$4)</f>
        <v>0</v>
      </c>
      <c r="HX57" s="8">
        <v>0</v>
      </c>
      <c r="HY57" s="69">
        <f>(HO57/$HN$4)</f>
        <v>0.89180107526881724</v>
      </c>
      <c r="HZ57" s="69">
        <f>((HO57-HX57)/$HN$4)</f>
        <v>0.89180107526881724</v>
      </c>
      <c r="IA57" s="69">
        <f>IF((AND(HP57=0,HR57=0)),0,(HR57+HX57)/(HP57+HR57))</f>
        <v>0</v>
      </c>
      <c r="IB57" s="149">
        <f>HX57/$HN$4</f>
        <v>0</v>
      </c>
      <c r="IC57" s="69">
        <f>(IF57/($HN$4*IG57))</f>
        <v>0.20711958292603455</v>
      </c>
      <c r="ID57" s="15">
        <v>0</v>
      </c>
      <c r="IE57" s="15">
        <v>744</v>
      </c>
      <c r="IF57" s="86">
        <v>12713</v>
      </c>
      <c r="IG57" s="8">
        <v>82.5</v>
      </c>
      <c r="II57" s="74" t="s">
        <v>64</v>
      </c>
      <c r="IJ57" s="37" t="s">
        <v>65</v>
      </c>
      <c r="IK57" s="8">
        <v>720</v>
      </c>
      <c r="IL57" s="8">
        <v>339.2</v>
      </c>
      <c r="IM57" s="8">
        <v>380.8</v>
      </c>
      <c r="IN57" s="8">
        <v>0</v>
      </c>
      <c r="IO57" s="69">
        <f>(IN57/$IJ$4)</f>
        <v>0</v>
      </c>
      <c r="IP57" s="8">
        <v>0</v>
      </c>
      <c r="IQ57" s="69">
        <f>(IP57/$IJ$4)</f>
        <v>0</v>
      </c>
      <c r="IR57" s="8">
        <v>0</v>
      </c>
      <c r="IS57" s="69">
        <f>(IR57/$IJ$4)</f>
        <v>0</v>
      </c>
      <c r="IT57" s="8">
        <v>0</v>
      </c>
      <c r="IU57" s="69">
        <f>(IK57/$IJ$4)</f>
        <v>1</v>
      </c>
      <c r="IV57" s="164">
        <f>((IK57-IT57)/$IJ$4)</f>
        <v>1</v>
      </c>
      <c r="IW57" s="164">
        <f>IF((AND(IL57=0,IN57=0)),0,(IN57+IT57)/(IL57+IN57+IT57))</f>
        <v>0</v>
      </c>
      <c r="IX57" s="149">
        <f>IT57/$IJ$4</f>
        <v>0</v>
      </c>
      <c r="IY57" s="69">
        <f>(JB57/($IJ$4*JC57))</f>
        <v>0.34897306397306399</v>
      </c>
      <c r="IZ57" s="15">
        <v>0</v>
      </c>
      <c r="JA57" s="15">
        <f>SUM(IL57:IN57,IP57,IR57)</f>
        <v>720</v>
      </c>
      <c r="JB57" s="46">
        <v>20729</v>
      </c>
      <c r="JC57" s="8">
        <v>82.5</v>
      </c>
    </row>
    <row r="58" spans="1:263" ht="14.25" x14ac:dyDescent="0.2">
      <c r="B58" s="37" t="s">
        <v>66</v>
      </c>
      <c r="C58" s="8">
        <v>744</v>
      </c>
      <c r="D58" s="8">
        <v>211.4</v>
      </c>
      <c r="E58" s="8">
        <v>532.6</v>
      </c>
      <c r="F58" s="8">
        <v>0</v>
      </c>
      <c r="G58" s="6">
        <f>(F58/$B$4)</f>
        <v>0</v>
      </c>
      <c r="H58" s="8">
        <v>0</v>
      </c>
      <c r="I58" s="6">
        <f>(H58/$B$4)</f>
        <v>0</v>
      </c>
      <c r="J58" s="6">
        <v>0</v>
      </c>
      <c r="K58" s="6">
        <f>(J58/$B$4)</f>
        <v>0</v>
      </c>
      <c r="L58" s="8">
        <v>0</v>
      </c>
      <c r="M58" s="69">
        <f>(C58/$B$4)</f>
        <v>1</v>
      </c>
      <c r="N58" s="69">
        <f>((C58-L58)/$B$4)</f>
        <v>1</v>
      </c>
      <c r="O58" s="69">
        <f>IF((AND(D58=0,F58=0)),0,(F58+L58)/(D58+F58+L58))</f>
        <v>0</v>
      </c>
      <c r="P58" s="149">
        <f>L58/$B$4</f>
        <v>0</v>
      </c>
      <c r="Q58" s="69">
        <f>(T58/($B$4*U58))</f>
        <v>0.18154121863799283</v>
      </c>
      <c r="R58" s="15">
        <v>0</v>
      </c>
      <c r="S58" s="6">
        <f t="shared" ref="S58" si="1054">SUM(D58:F58,H58,J58)</f>
        <v>744</v>
      </c>
      <c r="T58" s="85">
        <v>11143</v>
      </c>
      <c r="U58" s="8">
        <v>82.5</v>
      </c>
      <c r="X58" s="37" t="s">
        <v>66</v>
      </c>
      <c r="Y58" s="41">
        <v>735</v>
      </c>
      <c r="Z58" s="41">
        <v>418.6</v>
      </c>
      <c r="AA58" s="41">
        <v>316.39999999999998</v>
      </c>
      <c r="AB58" s="8">
        <v>0</v>
      </c>
      <c r="AC58" s="6">
        <f>(AB58/$X$4)</f>
        <v>0</v>
      </c>
      <c r="AD58" s="8">
        <v>0</v>
      </c>
      <c r="AE58" s="6">
        <f>(AD58/$X$4)</f>
        <v>0</v>
      </c>
      <c r="AF58" s="6">
        <v>9</v>
      </c>
      <c r="AG58" s="6">
        <f>(AF58/$X$4)</f>
        <v>1.2096774193548387E-2</v>
      </c>
      <c r="AH58" s="8">
        <v>0</v>
      </c>
      <c r="AI58" s="69">
        <f>(Y58/$X$4)</f>
        <v>0.98790322580645162</v>
      </c>
      <c r="AJ58" s="69">
        <f>((Y58-AH58)/$X$4)</f>
        <v>0.98790322580645162</v>
      </c>
      <c r="AK58" s="69">
        <f>IF((AND(Z58=0,AB58=0)),0,(AB58+AH58)/(Z58+AB58+AH58))</f>
        <v>0</v>
      </c>
      <c r="AL58" s="149">
        <f>AH58/$X$4</f>
        <v>0</v>
      </c>
      <c r="AM58" s="69">
        <f>(AP58/($X$4*AQ58))</f>
        <v>0.39330400782013686</v>
      </c>
      <c r="AN58" s="15">
        <v>0</v>
      </c>
      <c r="AO58" s="6">
        <f t="shared" ref="AO58" si="1055">SUM(Z58:AB58,AD58,AF58)</f>
        <v>744</v>
      </c>
      <c r="AP58" s="86">
        <v>24141</v>
      </c>
      <c r="AQ58" s="8">
        <v>82.5</v>
      </c>
      <c r="AT58" s="37" t="s">
        <v>66</v>
      </c>
      <c r="AU58" s="8">
        <v>715.2</v>
      </c>
      <c r="AV58" s="8">
        <v>405.7</v>
      </c>
      <c r="AW58" s="8">
        <v>309.45</v>
      </c>
      <c r="AX58" s="8">
        <v>4.8499999999999996</v>
      </c>
      <c r="AY58" s="6">
        <f t="shared" ref="AY58:BA58" si="1056">(AX58/$AT$4)</f>
        <v>6.7361111111111103E-3</v>
      </c>
      <c r="AZ58" s="8">
        <v>0</v>
      </c>
      <c r="BA58" s="6">
        <f t="shared" si="1056"/>
        <v>0</v>
      </c>
      <c r="BB58" s="8">
        <v>0</v>
      </c>
      <c r="BC58" s="6">
        <f t="shared" ref="BC58" si="1057">(BB58/$AT$4)</f>
        <v>0</v>
      </c>
      <c r="BD58" s="8">
        <v>0</v>
      </c>
      <c r="BE58" s="69">
        <f t="shared" ref="BE58" si="1058">(AU58/$AT$4)</f>
        <v>0.9933333333333334</v>
      </c>
      <c r="BF58" s="69">
        <f t="shared" ref="BF58" si="1059">((AU58-BD58)/$AT$4)</f>
        <v>0.9933333333333334</v>
      </c>
      <c r="BG58" s="69">
        <f t="shared" ref="BG58" si="1060">IF((AND(AV58=0,AX58=0)),0,(AX58+BD58)/(AV58+AX58+BD58))</f>
        <v>1.1813421020582145E-2</v>
      </c>
      <c r="BH58" s="149">
        <f t="shared" ref="BH58" si="1061">BD58/$AT$4</f>
        <v>0</v>
      </c>
      <c r="BI58" s="69">
        <f t="shared" ref="BI58" si="1062">(BL58/($AT$4*BM58))</f>
        <v>0.3845959595959596</v>
      </c>
      <c r="BJ58" s="6"/>
      <c r="BK58" s="6">
        <f t="shared" ref="BK58" si="1063">SUM(AV58:AX58,AZ58,BB58)</f>
        <v>720</v>
      </c>
      <c r="BL58" s="86">
        <v>22845</v>
      </c>
      <c r="BM58" s="8">
        <v>82.5</v>
      </c>
      <c r="BP58" s="37" t="s">
        <v>66</v>
      </c>
      <c r="BQ58" s="8">
        <v>725.4</v>
      </c>
      <c r="BR58" s="8">
        <v>434.7</v>
      </c>
      <c r="BS58" s="8">
        <v>290.60000000000002</v>
      </c>
      <c r="BT58" s="8">
        <v>18.7</v>
      </c>
      <c r="BU58" s="6">
        <f t="shared" ref="BU58:BW58" si="1064">(BT58/$BP$4)</f>
        <v>2.5134408602150538E-2</v>
      </c>
      <c r="BV58" s="8">
        <v>0</v>
      </c>
      <c r="BW58" s="6">
        <f t="shared" si="1064"/>
        <v>0</v>
      </c>
      <c r="BX58" s="8">
        <v>0</v>
      </c>
      <c r="BY58" s="6">
        <f t="shared" ref="BY58" si="1065">(BX58/$BP$4)</f>
        <v>0</v>
      </c>
      <c r="BZ58" s="8">
        <v>0</v>
      </c>
      <c r="CA58" s="69">
        <f t="shared" ref="CA58" si="1066">(BQ58/$BP$4)</f>
        <v>0.97499999999999998</v>
      </c>
      <c r="CB58" s="69">
        <f t="shared" ref="CB58" si="1067">((BQ58-BZ58)/$BP$4)</f>
        <v>0.97499999999999998</v>
      </c>
      <c r="CC58" s="149">
        <f t="shared" ref="CC58" si="1068">IF((AND(BR58=0,BT58=0)),0,(BT58+BZ58)/(BR58+BT58+BZ58))</f>
        <v>4.1243934715483016E-2</v>
      </c>
      <c r="CD58" s="149">
        <f t="shared" ref="CD58" si="1069">BZ58/$BP$4</f>
        <v>0</v>
      </c>
      <c r="CE58" s="69">
        <f t="shared" ref="CE58" si="1070">(CH58/($BP$4*CI58))</f>
        <v>0.39835451287064189</v>
      </c>
      <c r="CF58" s="6"/>
      <c r="CG58" s="42">
        <f t="shared" ref="CG58" si="1071">SUM(BR58:BT58,BV58,BX58)</f>
        <v>744</v>
      </c>
      <c r="CH58" s="86">
        <v>24451</v>
      </c>
      <c r="CI58" s="8">
        <v>82.5</v>
      </c>
      <c r="CL58" s="37" t="s">
        <v>66</v>
      </c>
      <c r="CM58" s="8">
        <v>553.4</v>
      </c>
      <c r="CN58" s="8">
        <v>165.22</v>
      </c>
      <c r="CO58" s="8">
        <v>388.18</v>
      </c>
      <c r="CP58" s="8">
        <v>76.03</v>
      </c>
      <c r="CQ58" s="6">
        <f t="shared" ref="CQ58:CS58" si="1072">(CP58/$CL$4)</f>
        <v>0.10559722222222222</v>
      </c>
      <c r="CR58" s="8">
        <v>90.57</v>
      </c>
      <c r="CS58" s="6">
        <f t="shared" si="1072"/>
        <v>0.12579166666666666</v>
      </c>
      <c r="CT58" s="6">
        <v>0</v>
      </c>
      <c r="CU58" s="6">
        <f t="shared" ref="CU58" si="1073">(CT58/$CL$4)</f>
        <v>0</v>
      </c>
      <c r="CV58" s="8">
        <v>0</v>
      </c>
      <c r="CW58" s="69">
        <f t="shared" ref="CW58" si="1074">(CM58/$CL$4)</f>
        <v>0.76861111111111113</v>
      </c>
      <c r="CX58" s="69">
        <f t="shared" ref="CX58" si="1075">((CM58-CV58)/$CL$4)</f>
        <v>0.76861111111111113</v>
      </c>
      <c r="CY58" s="149">
        <f t="shared" ref="CY58" si="1076">IF((AND(CN58=0,CP58=0)),0,(CP58+CV58)/(CN58+CP58+CV58))</f>
        <v>0.3151502590673575</v>
      </c>
      <c r="CZ58" s="149">
        <f t="shared" ref="CZ58" si="1077">CV58/$CL$4</f>
        <v>0</v>
      </c>
      <c r="DA58" s="69">
        <f t="shared" ref="DA58" si="1078">(DD58/($CL$4*DE58))</f>
        <v>0.13803030303030303</v>
      </c>
      <c r="DB58" s="6"/>
      <c r="DC58" s="6">
        <f t="shared" ref="DC58" si="1079">SUM(CN58:CP58,CR58,CT58)</f>
        <v>720</v>
      </c>
      <c r="DD58" s="42">
        <v>8199</v>
      </c>
      <c r="DE58" s="8">
        <v>82.5</v>
      </c>
      <c r="DH58" s="37" t="s">
        <v>66</v>
      </c>
      <c r="DI58" s="8">
        <v>738.8</v>
      </c>
      <c r="DJ58" s="8">
        <v>276.10000000000002</v>
      </c>
      <c r="DK58" s="8">
        <v>462.6</v>
      </c>
      <c r="DL58" s="8">
        <v>5.3</v>
      </c>
      <c r="DM58" s="69">
        <f>(DL58/$DH$4)</f>
        <v>7.123655913978494E-3</v>
      </c>
      <c r="DN58" s="8">
        <v>0</v>
      </c>
      <c r="DO58" s="69">
        <f>(DN58/$DH$4)</f>
        <v>0</v>
      </c>
      <c r="DP58" s="6">
        <v>0</v>
      </c>
      <c r="DQ58" s="69">
        <f>(DP58/$DH$4)</f>
        <v>0</v>
      </c>
      <c r="DR58" s="8">
        <v>0</v>
      </c>
      <c r="DS58" s="69">
        <f t="shared" ref="DS58" si="1080">(DI58/$X$4)</f>
        <v>0.99301075268817196</v>
      </c>
      <c r="DT58" s="69">
        <f t="shared" ref="DT58" si="1081">((DI58-DR58)/$DH$4)</f>
        <v>0.99301075268817196</v>
      </c>
      <c r="DU58" s="149">
        <f t="shared" ref="DU58" si="1082">IF((AND(DJ58=0,DL58=0)),0,(DL58+DR58)/(DJ58+DL58+DR58))</f>
        <v>1.8834399431414354E-2</v>
      </c>
      <c r="DV58" s="149">
        <f t="shared" ref="DV58" si="1083">DR58/$DH$4</f>
        <v>0</v>
      </c>
      <c r="DW58" s="69">
        <f t="shared" ref="DW58" si="1084">(DZ58/($DH$4*EA58))</f>
        <v>0.23492994460736397</v>
      </c>
      <c r="DX58" s="69"/>
      <c r="DY58" s="15">
        <f t="shared" ref="DY58" si="1085">SUM(DJ58:DL58,DN58,DP58)</f>
        <v>744</v>
      </c>
      <c r="DZ58" s="85">
        <v>14420</v>
      </c>
      <c r="EA58" s="8">
        <v>82.5</v>
      </c>
      <c r="ED58" s="37" t="s">
        <v>66</v>
      </c>
      <c r="EE58" s="8">
        <v>735.1</v>
      </c>
      <c r="EF58" s="8">
        <v>295.39999999999998</v>
      </c>
      <c r="EG58" s="8">
        <v>439.7</v>
      </c>
      <c r="EH58" s="8">
        <v>8.9</v>
      </c>
      <c r="EI58" s="6">
        <f>(EH58/$ED$4)</f>
        <v>1.196236559139785E-2</v>
      </c>
      <c r="EJ58" s="8">
        <v>0</v>
      </c>
      <c r="EK58" s="6">
        <f>(EJ58/$ED$4)</f>
        <v>0</v>
      </c>
      <c r="EL58" s="6">
        <v>0</v>
      </c>
      <c r="EM58" s="6">
        <f>(EL58/$ED$4)</f>
        <v>0</v>
      </c>
      <c r="EN58" s="8">
        <v>0</v>
      </c>
      <c r="EO58" s="69">
        <f>(EE58/$X$4)</f>
        <v>0.98803763440860215</v>
      </c>
      <c r="EP58" s="69">
        <f>((EE58-EN58)/$ED$4)</f>
        <v>0.98803763440860215</v>
      </c>
      <c r="EQ58" s="149">
        <f t="shared" ref="EQ58" si="1086">IF((AND(EF58=0,EH58=0)),0,(EH58+EN58)/(EF58+EH58+EN58))</f>
        <v>2.9247453171212624E-2</v>
      </c>
      <c r="ER58" s="149"/>
      <c r="ES58" s="69">
        <f t="shared" ref="ES58" si="1087">(EV58/($ED$4*EW58))*100</f>
        <v>26.045943304007817</v>
      </c>
      <c r="ET58" s="6"/>
      <c r="EU58" s="6">
        <f t="shared" ref="EU58" si="1088">SUM(EF58:EH58,EJ58,EL58)</f>
        <v>743.99999999999989</v>
      </c>
      <c r="EV58" s="85">
        <v>15987</v>
      </c>
      <c r="EW58" s="8">
        <v>82.5</v>
      </c>
      <c r="EZ58" s="37" t="s">
        <v>66</v>
      </c>
      <c r="FA58" s="8">
        <v>653.5</v>
      </c>
      <c r="FB58" s="8">
        <v>276.92</v>
      </c>
      <c r="FC58" s="8">
        <v>376.53</v>
      </c>
      <c r="FD58" s="8">
        <v>11.23</v>
      </c>
      <c r="FE58" s="6">
        <f>(FD58/$EZ$4)</f>
        <v>1.6711309523809524E-2</v>
      </c>
      <c r="FF58" s="8">
        <v>0</v>
      </c>
      <c r="FG58" s="6">
        <f>(FF58/$EZ$4)</f>
        <v>0</v>
      </c>
      <c r="FH58" s="6">
        <v>7.32</v>
      </c>
      <c r="FI58" s="6">
        <f>(FH58/$EZ$4)</f>
        <v>1.0892857142857143E-2</v>
      </c>
      <c r="FJ58" s="8">
        <v>0</v>
      </c>
      <c r="FK58" s="69">
        <f>(FA58/$X$4)</f>
        <v>0.87836021505376349</v>
      </c>
      <c r="FL58" s="69">
        <f>((FA58-FJ58)/$EZ$4)</f>
        <v>0.97247023809523814</v>
      </c>
      <c r="FM58" s="149">
        <f>IF((AND(FB58=0,FD58=0)),0,(FD58+FJ58)/(FB58+FD58+FJ58))</f>
        <v>3.8972757244490716E-2</v>
      </c>
      <c r="FN58" s="149">
        <f>FJ58/$EZ$4</f>
        <v>0</v>
      </c>
      <c r="FO58" s="69">
        <f>(FR58/($EZ$4*FS58))</f>
        <v>0.26426767676767676</v>
      </c>
      <c r="FP58" s="6"/>
      <c r="FQ58" s="6">
        <f t="shared" ref="FQ58" si="1089">SUM(FB58:FD58,FF58,FH58)</f>
        <v>672.00000000000011</v>
      </c>
      <c r="FR58" s="86">
        <v>14651</v>
      </c>
      <c r="FS58" s="8">
        <v>82.5</v>
      </c>
      <c r="FV58" s="37" t="s">
        <v>66</v>
      </c>
      <c r="FW58" s="8">
        <v>742.3</v>
      </c>
      <c r="FX58" s="8">
        <v>408.3</v>
      </c>
      <c r="FY58" s="8">
        <v>334</v>
      </c>
      <c r="FZ58" s="8">
        <v>1.7</v>
      </c>
      <c r="GA58" s="69">
        <f>(FZ58/$FV$4)</f>
        <v>2.2849462365591398E-3</v>
      </c>
      <c r="GB58" s="8">
        <v>0</v>
      </c>
      <c r="GC58" s="69">
        <f>(GB58/$FV$4)</f>
        <v>0</v>
      </c>
      <c r="GD58" s="6">
        <v>0</v>
      </c>
      <c r="GE58" s="6">
        <f>(GD58/$FV$4)</f>
        <v>0</v>
      </c>
      <c r="GF58" s="8">
        <v>0</v>
      </c>
      <c r="GG58" s="69">
        <f>(FW58/$X$4)</f>
        <v>0.99771505376344083</v>
      </c>
      <c r="GH58" s="69">
        <f>((FW58-GF58)/$FV$4)</f>
        <v>0.99771505376344083</v>
      </c>
      <c r="GI58" s="149">
        <f>IF((AND(FX58=0,FZ58=0)),0,(FZ58+GF58)/(FX58+FZ58+GF58))</f>
        <v>4.1463414634146344E-3</v>
      </c>
      <c r="GJ58" s="149">
        <f>GF58/$FV$4</f>
        <v>0</v>
      </c>
      <c r="GK58" s="69">
        <f>(GN58/($FV$4*GO58))</f>
        <v>0.36244705115672859</v>
      </c>
      <c r="GL58" s="69"/>
      <c r="GM58" s="6">
        <f t="shared" ref="GM58" si="1090">SUM(FX58:FZ58,GB58,GD58)</f>
        <v>744</v>
      </c>
      <c r="GN58" s="86">
        <v>22247</v>
      </c>
      <c r="GO58" s="8">
        <v>82.5</v>
      </c>
      <c r="GR58" s="37" t="s">
        <v>66</v>
      </c>
      <c r="GS58" s="8">
        <v>711.12</v>
      </c>
      <c r="GT58" s="8">
        <v>455.1</v>
      </c>
      <c r="GU58" s="8">
        <v>256.02</v>
      </c>
      <c r="GV58" s="8">
        <v>0</v>
      </c>
      <c r="GW58" s="6">
        <f>(GV58/$GR$4)</f>
        <v>0</v>
      </c>
      <c r="GX58" s="8">
        <v>0</v>
      </c>
      <c r="GY58" s="6">
        <f>(GX58/$GR$4)</f>
        <v>0</v>
      </c>
      <c r="GZ58" s="6">
        <v>8.8800000000000008</v>
      </c>
      <c r="HA58" s="6">
        <f>(GZ58/$GR$4)</f>
        <v>1.2333333333333335E-2</v>
      </c>
      <c r="HB58" s="8">
        <v>0</v>
      </c>
      <c r="HC58" s="69">
        <f>(GS58/$X$4)</f>
        <v>0.95580645161290323</v>
      </c>
      <c r="HD58" s="69">
        <f>((GS58-HB58)/$GR$4)</f>
        <v>0.98766666666666669</v>
      </c>
      <c r="HE58" s="149">
        <f t="shared" ref="HE58" si="1091">IF((AND(GT58=0,GV58=0)),0,(GV58+HB58)/(GT58+GV58+HB58))</f>
        <v>0</v>
      </c>
      <c r="HF58" s="149">
        <f t="shared" ref="HF58" si="1092">HB58/$GR$4</f>
        <v>0</v>
      </c>
      <c r="HG58" s="69">
        <f>(HJ58/($GR$4*HK58))</f>
        <v>0.44318181818181818</v>
      </c>
      <c r="HH58" s="15">
        <v>0</v>
      </c>
      <c r="HI58" s="6">
        <f t="shared" ref="HI58" si="1093">SUM(GT58:GV58,GX58,GZ58)</f>
        <v>720</v>
      </c>
      <c r="HJ58" s="43">
        <v>26325</v>
      </c>
      <c r="HK58" s="8">
        <v>82.5</v>
      </c>
      <c r="HN58" s="37" t="s">
        <v>66</v>
      </c>
      <c r="HO58" s="8">
        <v>439.2</v>
      </c>
      <c r="HP58" s="8">
        <v>161.05000000000001</v>
      </c>
      <c r="HQ58" s="8">
        <v>278.12</v>
      </c>
      <c r="HR58" s="8">
        <v>202.5</v>
      </c>
      <c r="HS58" s="6">
        <f>(HR58/$HN$4)</f>
        <v>0.27217741935483869</v>
      </c>
      <c r="HT58" s="8">
        <v>102.33</v>
      </c>
      <c r="HU58" s="6">
        <f>(HT58/$HN$4)</f>
        <v>0.13754032258064516</v>
      </c>
      <c r="HV58" s="8">
        <v>0</v>
      </c>
      <c r="HW58" s="6">
        <f>(HV58/$HN$4)</f>
        <v>0</v>
      </c>
      <c r="HX58" s="8">
        <v>0</v>
      </c>
      <c r="HY58" s="69">
        <f>(HO58/$HN$4)</f>
        <v>0.5903225806451613</v>
      </c>
      <c r="HZ58" s="69">
        <f>((HO58-HX58)/$HN$4)</f>
        <v>0.5903225806451613</v>
      </c>
      <c r="IA58" s="69">
        <f>IF((AND(HP58=0,HR58=0)),0,(HR58+HX58)/(HP58+HR58))</f>
        <v>0.55700728923119236</v>
      </c>
      <c r="IB58" s="149">
        <f t="shared" ref="IB58" si="1094">HX58/$HN$4</f>
        <v>0</v>
      </c>
      <c r="IC58" s="69">
        <f>(IF58/($HN$4*IG58))</f>
        <v>0.1378950798305637</v>
      </c>
      <c r="ID58" s="15">
        <v>1</v>
      </c>
      <c r="IE58" s="15">
        <f t="shared" ref="IE58" si="1095">SUM(HP58:HR58,HT58,HV58)</f>
        <v>744.00000000000011</v>
      </c>
      <c r="IF58" s="86">
        <v>8464</v>
      </c>
      <c r="IG58" s="8">
        <v>82.5</v>
      </c>
      <c r="IJ58" s="37" t="s">
        <v>66</v>
      </c>
      <c r="IK58" s="8">
        <v>0</v>
      </c>
      <c r="IL58" s="8">
        <v>0</v>
      </c>
      <c r="IM58" s="8">
        <v>0</v>
      </c>
      <c r="IN58" s="8">
        <v>720</v>
      </c>
      <c r="IO58" s="69">
        <f>(IN58/$IJ$4)</f>
        <v>1</v>
      </c>
      <c r="IP58" s="8">
        <v>0</v>
      </c>
      <c r="IQ58" s="69">
        <f>(IP58/$IJ$4)</f>
        <v>0</v>
      </c>
      <c r="IR58" s="8">
        <v>0</v>
      </c>
      <c r="IS58" s="69">
        <f>(IR58/$IJ$4)</f>
        <v>0</v>
      </c>
      <c r="IT58" s="8">
        <v>0</v>
      </c>
      <c r="IU58" s="69">
        <f>(IK58/$IJ$4)</f>
        <v>0</v>
      </c>
      <c r="IV58" s="164">
        <f>((IK58-IT58)/$IJ$4)</f>
        <v>0</v>
      </c>
      <c r="IW58" s="164">
        <f>IF((AND(IL58=0,IN58=0)),0,(IN58+IT58)/(IL58+IN58+IT58))</f>
        <v>1</v>
      </c>
      <c r="IX58" s="149">
        <f t="shared" ref="IX58" si="1096">IT58/$IJ$4</f>
        <v>0</v>
      </c>
      <c r="IY58" s="69">
        <f>(JB58/($IJ$4*JC58))</f>
        <v>0</v>
      </c>
      <c r="IZ58" s="15">
        <v>1</v>
      </c>
      <c r="JA58" s="15">
        <f t="shared" ref="JA58" si="1097">SUM(IL58:IN58,IP58,IR58)</f>
        <v>720</v>
      </c>
      <c r="JB58" s="8">
        <v>0</v>
      </c>
      <c r="JC58" s="8">
        <v>82.5</v>
      </c>
    </row>
    <row r="59" spans="1:263" ht="15" x14ac:dyDescent="0.25">
      <c r="B59" s="87" t="s">
        <v>39</v>
      </c>
      <c r="C59" s="47">
        <f>SUM(C57:C58)</f>
        <v>1488</v>
      </c>
      <c r="D59" s="29">
        <f t="shared" ref="D59:E59" si="1098">SUM(D57:D58)</f>
        <v>370.4</v>
      </c>
      <c r="E59" s="47">
        <f t="shared" si="1098"/>
        <v>1117.5999999999999</v>
      </c>
      <c r="F59" s="29">
        <f t="shared" ref="F59:L59" si="1099">SUM(F57:F58)</f>
        <v>0</v>
      </c>
      <c r="G59" s="78">
        <f>(G57*U57+G58*U58)/U59</f>
        <v>0</v>
      </c>
      <c r="H59" s="29">
        <f t="shared" si="1099"/>
        <v>0</v>
      </c>
      <c r="I59" s="78">
        <f>(I57*U57+I58*U58)/U59</f>
        <v>0</v>
      </c>
      <c r="J59" s="30">
        <f>SUM(J57:J58)</f>
        <v>0</v>
      </c>
      <c r="K59" s="79">
        <f>(K57*U57+K58*U58)/U59</f>
        <v>0</v>
      </c>
      <c r="L59" s="29">
        <f t="shared" si="1099"/>
        <v>0</v>
      </c>
      <c r="M59" s="78">
        <f>(M57*U57+M58*U58)/U59</f>
        <v>1</v>
      </c>
      <c r="N59" s="81">
        <f>(N57*U57+N58*U58)/U59</f>
        <v>1</v>
      </c>
      <c r="O59" s="81">
        <f>(O57*U57+O58*U58)/U59</f>
        <v>0</v>
      </c>
      <c r="P59" s="81">
        <f>(P57*U57+P58*U58)/U59</f>
        <v>0</v>
      </c>
      <c r="Q59" s="81">
        <f>(Q57*U57+Q58*U58)/U59</f>
        <v>0.15772238514173997</v>
      </c>
      <c r="R59" s="29">
        <f t="shared" ref="R59" si="1100">SUM(R57:R58)</f>
        <v>0</v>
      </c>
      <c r="S59" s="30">
        <f>SUM(S57:S58)</f>
        <v>1488</v>
      </c>
      <c r="T59" s="88">
        <f>SUM(T57:T58)</f>
        <v>19362</v>
      </c>
      <c r="U59" s="29">
        <f>SUM(U57:U58)</f>
        <v>165</v>
      </c>
      <c r="X59" s="87" t="s">
        <v>39</v>
      </c>
      <c r="Y59" s="29">
        <f>SUM(Y57:Y58)</f>
        <v>1479</v>
      </c>
      <c r="Z59" s="29">
        <f t="shared" ref="Z59:AB59" si="1101">SUM(Z57:Z58)</f>
        <v>859.6</v>
      </c>
      <c r="AA59" s="29">
        <f>SUM(AA57:AA58)</f>
        <v>619.4</v>
      </c>
      <c r="AB59" s="29">
        <f t="shared" si="1101"/>
        <v>0</v>
      </c>
      <c r="AC59" s="79">
        <f>(AC57*AQ57+AC58*AQ58)/AQ59</f>
        <v>0</v>
      </c>
      <c r="AD59" s="29">
        <f t="shared" ref="AD59:AH59" si="1102">SUM(AD57:AD58)</f>
        <v>0</v>
      </c>
      <c r="AE59" s="79">
        <f>(AE57*AQ57+AE58*AQ58)/AQ59</f>
        <v>0</v>
      </c>
      <c r="AF59" s="30">
        <f>SUM(AF57:AF58)</f>
        <v>9</v>
      </c>
      <c r="AG59" s="79">
        <f>SUM(AG57:AG58)</f>
        <v>1.2096774193548387E-2</v>
      </c>
      <c r="AH59" s="29">
        <f t="shared" si="1102"/>
        <v>0</v>
      </c>
      <c r="AI59" s="78">
        <f>(AI57*AQ57+AI58*AQ58)/AQ59</f>
        <v>0.99395161290322576</v>
      </c>
      <c r="AJ59" s="79">
        <f>(AJ57*AQ57+AJ58*AQ58)/AQ59</f>
        <v>0.99395161290322576</v>
      </c>
      <c r="AK59" s="79">
        <f>(AK57*AQ57+AK58*AQ58)/AQ59</f>
        <v>0</v>
      </c>
      <c r="AL59" s="79"/>
      <c r="AM59" s="81">
        <f>(AM57*AQ57+AM58*AQ58)/AQ59</f>
        <v>0.4030058651026393</v>
      </c>
      <c r="AN59" s="29">
        <f t="shared" ref="AN59" si="1103">SUM(AN57:AN58)</f>
        <v>0</v>
      </c>
      <c r="AO59" s="30">
        <f>SUM(AO57:AO58)</f>
        <v>1488</v>
      </c>
      <c r="AP59" s="33">
        <f>SUM(AP57:AP58)</f>
        <v>49473</v>
      </c>
      <c r="AQ59" s="29">
        <f>SUM(AQ57:AQ58)</f>
        <v>165</v>
      </c>
      <c r="AT59" s="87" t="s">
        <v>39</v>
      </c>
      <c r="AU59" s="47">
        <f>SUM(AU57:AU58)</f>
        <v>1435.2</v>
      </c>
      <c r="AV59" s="29">
        <f t="shared" ref="AV59:AX59" si="1104">SUM(AV57:AV58)</f>
        <v>905.57999999999993</v>
      </c>
      <c r="AW59" s="29">
        <f>SUM(AW57:AW58)</f>
        <v>529.56999999999994</v>
      </c>
      <c r="AX59" s="29">
        <f t="shared" si="1104"/>
        <v>4.8499999999999996</v>
      </c>
      <c r="AY59" s="30">
        <f>(AY57*BM57+AY58*BM58)/BM59</f>
        <v>3.3680555555555551E-3</v>
      </c>
      <c r="AZ59" s="29">
        <f t="shared" ref="AZ59:BD59" si="1105">SUM(AZ57:AZ58)</f>
        <v>0</v>
      </c>
      <c r="BA59" s="30">
        <f>(BA57*BM57+BA58*BM58)/BM59</f>
        <v>0</v>
      </c>
      <c r="BB59" s="30">
        <f>SUM(BB57:BB58)</f>
        <v>0</v>
      </c>
      <c r="BC59" s="30">
        <f>(BC57*BM57+BC58*BM58)/BM59</f>
        <v>0</v>
      </c>
      <c r="BD59" s="29">
        <f t="shared" si="1105"/>
        <v>0</v>
      </c>
      <c r="BE59" s="78">
        <f>(BE57*BM57+BE58*BM58)/BM59</f>
        <v>0.99666666666666659</v>
      </c>
      <c r="BF59" s="79">
        <f>(BF57*BM57+BF58*BM58)/BM59</f>
        <v>0.99666666666666659</v>
      </c>
      <c r="BG59" s="79">
        <f>(BG57*BM57+BG58*BM58)/BM59</f>
        <v>5.9067105102910723E-3</v>
      </c>
      <c r="BH59" s="79"/>
      <c r="BI59" s="81">
        <f>(BI57*BM57+BI58*BM58)/BM59</f>
        <v>0.43636363636363634</v>
      </c>
      <c r="BJ59" s="149"/>
      <c r="BK59" s="30">
        <f>SUM(BK57:BK58)</f>
        <v>1440</v>
      </c>
      <c r="BL59" s="89">
        <f>SUM(BL57:BL58)</f>
        <v>51840</v>
      </c>
      <c r="BM59" s="29">
        <f>SUM(BM57:BM58)</f>
        <v>165</v>
      </c>
      <c r="BP59" s="87" t="s">
        <v>39</v>
      </c>
      <c r="BQ59" s="29">
        <f>SUM(BQ57:BQ58)</f>
        <v>1469.4</v>
      </c>
      <c r="BR59" s="29">
        <f t="shared" ref="BR59:BT59" si="1106">SUM(BR57:BR58)</f>
        <v>854.9</v>
      </c>
      <c r="BS59" s="29">
        <f>SUM(BS57:BS58)</f>
        <v>614.5</v>
      </c>
      <c r="BT59" s="29">
        <f t="shared" si="1106"/>
        <v>18.7</v>
      </c>
      <c r="BU59" s="79">
        <f>(BU57*CI57+BU58*CI58)/CI59</f>
        <v>1.2567204301075269E-2</v>
      </c>
      <c r="BV59" s="29">
        <f t="shared" ref="BV59:BZ59" si="1107">SUM(BV57:BV58)</f>
        <v>0</v>
      </c>
      <c r="BW59" s="79">
        <f>(BW57*CI57+BW58*CI58)/CI59</f>
        <v>0</v>
      </c>
      <c r="BX59" s="30">
        <f>SUM(BX57:BX58)</f>
        <v>0</v>
      </c>
      <c r="BY59" s="79">
        <f>(BY57*CI57+BY58*CI58)/CI59</f>
        <v>0</v>
      </c>
      <c r="BZ59" s="29">
        <f t="shared" si="1107"/>
        <v>0</v>
      </c>
      <c r="CA59" s="78">
        <f>(CA57*CI57+CA58*CI58)/CI59</f>
        <v>0.98750000000000004</v>
      </c>
      <c r="CB59" s="79">
        <f>(CB57*CI57+CB58*CI58)/CI59</f>
        <v>0.98750000000000004</v>
      </c>
      <c r="CC59" s="79">
        <f>(CC57*CI57+CC58*CI58)/CI59</f>
        <v>2.0621967357741508E-2</v>
      </c>
      <c r="CD59" s="79"/>
      <c r="CE59" s="81">
        <f>(CE57*CI57+CE58*CI58)/CI59</f>
        <v>0.39935646790485496</v>
      </c>
      <c r="CF59" s="149"/>
      <c r="CG59" s="33">
        <f>SUM(CG57:CG58)</f>
        <v>1488.1</v>
      </c>
      <c r="CH59" s="89">
        <f>SUM(CH57:CH58)</f>
        <v>49025</v>
      </c>
      <c r="CI59" s="29">
        <f>SUM(CI57:CI58)</f>
        <v>165</v>
      </c>
      <c r="CL59" s="87" t="s">
        <v>39</v>
      </c>
      <c r="CM59" s="29">
        <f>SUM(CM57:CM58)</f>
        <v>1046.0999999999999</v>
      </c>
      <c r="CN59" s="29">
        <f t="shared" ref="CN59:CP59" si="1108">SUM(CN57:CN58)</f>
        <v>271.5</v>
      </c>
      <c r="CO59" s="29">
        <f>SUM(CO57:CO58)</f>
        <v>774.55</v>
      </c>
      <c r="CP59" s="29">
        <f t="shared" si="1108"/>
        <v>152.03</v>
      </c>
      <c r="CQ59" s="79">
        <f>(CQ57*DE57+CQ58*DE58)/DE59</f>
        <v>0.1055763888888889</v>
      </c>
      <c r="CR59" s="29">
        <f t="shared" ref="CR59:CV59" si="1109">SUM(CR57:CR58)</f>
        <v>241.92</v>
      </c>
      <c r="CS59" s="79">
        <f>(CS57*DE57+CS58*DE58)/DE59</f>
        <v>0.16799999999999998</v>
      </c>
      <c r="CT59" s="30">
        <f>SUM(CT57:CT58)</f>
        <v>0</v>
      </c>
      <c r="CU59" s="78">
        <f>(CU57*DE57+CU58*DE58)/DE59</f>
        <v>0</v>
      </c>
      <c r="CV59" s="29">
        <f t="shared" si="1109"/>
        <v>0</v>
      </c>
      <c r="CW59" s="78">
        <f>(CW57*DE57+CW58*DE58)/DE59</f>
        <v>0.72645833333333332</v>
      </c>
      <c r="CX59" s="79">
        <f>(CX57*DE57+CX58*DE58)/DE59</f>
        <v>0.72645833333333332</v>
      </c>
      <c r="CY59" s="79">
        <f>(CY57*DE57+CY58*DE58)/DE59</f>
        <v>0.36604561450185952</v>
      </c>
      <c r="CZ59" s="79"/>
      <c r="DA59" s="81">
        <f>(DA57*DE57+DA58*DE58)/DE59</f>
        <v>0.11494107744107744</v>
      </c>
      <c r="DB59" s="149"/>
      <c r="DC59" s="30">
        <f>SUM(DC57:DC58)</f>
        <v>1440</v>
      </c>
      <c r="DD59" s="33">
        <f>SUM(DD57:DD58)</f>
        <v>13655</v>
      </c>
      <c r="DE59" s="29">
        <f>SUM(DE57:DE58)</f>
        <v>165</v>
      </c>
      <c r="DH59" s="87" t="s">
        <v>39</v>
      </c>
      <c r="DI59" s="47">
        <f>SUM(DI57:DI58)</f>
        <v>1482.8</v>
      </c>
      <c r="DJ59" s="29">
        <f t="shared" ref="DJ59:DL59" si="1110">SUM(DJ57:DJ58)</f>
        <v>609</v>
      </c>
      <c r="DK59" s="29">
        <f>SUM(DK57:DK58)</f>
        <v>873.7</v>
      </c>
      <c r="DL59" s="29">
        <f t="shared" si="1110"/>
        <v>5.3</v>
      </c>
      <c r="DM59" s="79">
        <f>(DM57*EA57+DM58*EA58)/EA59</f>
        <v>3.561827956989247E-3</v>
      </c>
      <c r="DN59" s="29">
        <f t="shared" ref="DN59:DR59" si="1111">SUM(DN57:DN58)</f>
        <v>0</v>
      </c>
      <c r="DO59" s="79">
        <f>(DO57*EA57+DO58*EA58)/EA59</f>
        <v>0</v>
      </c>
      <c r="DP59" s="30">
        <f>SUM(DP57:DP58)</f>
        <v>0</v>
      </c>
      <c r="DQ59" s="79">
        <f>(DQ57*EA57+DQ58*EA58)/EA59</f>
        <v>0</v>
      </c>
      <c r="DR59" s="29">
        <f t="shared" si="1111"/>
        <v>0</v>
      </c>
      <c r="DS59" s="78">
        <f>(DS57*EA57+DS58*EA58)/EA59</f>
        <v>0.99650537634408609</v>
      </c>
      <c r="DT59" s="79">
        <f>(DT57*EA57+DT58*EA58)/EA59</f>
        <v>0.99650537634408609</v>
      </c>
      <c r="DU59" s="79">
        <f>(DU57*EA57+DU58*EA58)/EA59</f>
        <v>9.4171997157071769E-3</v>
      </c>
      <c r="DV59" s="79">
        <f>(DV57*EA57+DV58*EA58)/EA59</f>
        <v>0</v>
      </c>
      <c r="DW59" s="81">
        <f>(DW57*EA57+DW58*EA58)/EA59</f>
        <v>0.25804822417725642</v>
      </c>
      <c r="DX59" s="149"/>
      <c r="DY59" s="31">
        <f>SUM(DY57:DY58)</f>
        <v>1488</v>
      </c>
      <c r="DZ59" s="88">
        <f>SUM(DZ57:DZ58)</f>
        <v>31678</v>
      </c>
      <c r="EA59" s="29">
        <f>SUM(EA57:EA58)</f>
        <v>165</v>
      </c>
      <c r="ED59" s="87" t="s">
        <v>39</v>
      </c>
      <c r="EE59" s="29">
        <f>SUM(EE57:EE58)</f>
        <v>1479.1</v>
      </c>
      <c r="EF59" s="29">
        <f t="shared" ref="EF59:EH59" si="1112">SUM(EF57:EF58)</f>
        <v>663.4</v>
      </c>
      <c r="EG59" s="29">
        <f>SUM(EG57:EG58)</f>
        <v>815.7</v>
      </c>
      <c r="EH59" s="29">
        <f t="shared" si="1112"/>
        <v>8.9</v>
      </c>
      <c r="EI59" s="79">
        <f>(EI57*EW57+EI58*EW58)/EW59</f>
        <v>5.981182795698925E-3</v>
      </c>
      <c r="EJ59" s="29">
        <f t="shared" ref="EJ59:EN59" si="1113">SUM(EJ57:EJ58)</f>
        <v>0</v>
      </c>
      <c r="EK59" s="79">
        <f>(EK57*EW57+EK58*EW58)/EW59</f>
        <v>0</v>
      </c>
      <c r="EL59" s="30">
        <f>SUM(EL57:EL58)</f>
        <v>0</v>
      </c>
      <c r="EM59" s="79">
        <f>(EM57*EW57+EM58*EW58)/EW59</f>
        <v>0</v>
      </c>
      <c r="EN59" s="29">
        <f t="shared" si="1113"/>
        <v>0</v>
      </c>
      <c r="EO59" s="78">
        <f>(EO57*EW57+EO58*EW58)/EW59</f>
        <v>0.99401881720430119</v>
      </c>
      <c r="EP59" s="79">
        <f>(EP57*EW57+EP58*EW58)/EW59</f>
        <v>0.99401881720430119</v>
      </c>
      <c r="EQ59" s="79">
        <f>(EQ57*EW57+EQ58*EW58)/EW59</f>
        <v>1.4623726585606314E-2</v>
      </c>
      <c r="ER59" s="79"/>
      <c r="ES59" s="81">
        <f>(ES57*EW57+ES58*EW58)/EW59</f>
        <v>29.924242424242426</v>
      </c>
      <c r="ET59" s="18"/>
      <c r="EU59" s="30">
        <f>SUM(EU57:EU58)</f>
        <v>1488</v>
      </c>
      <c r="EV59" s="88">
        <f>SUM(EV57:EV58)</f>
        <v>36735</v>
      </c>
      <c r="EW59" s="29">
        <f>SUM(EW57:EW58)</f>
        <v>165</v>
      </c>
      <c r="EZ59" s="87" t="s">
        <v>39</v>
      </c>
      <c r="FA59" s="29">
        <f>SUM(FA57:FA58)</f>
        <v>1324.4</v>
      </c>
      <c r="FB59" s="29">
        <f t="shared" ref="FB59:FD59" si="1114">SUM(FB57:FB58)</f>
        <v>561.90000000000009</v>
      </c>
      <c r="FC59" s="29">
        <f>SUM(FC57:FC58)</f>
        <v>762.4</v>
      </c>
      <c r="FD59" s="29">
        <f t="shared" si="1114"/>
        <v>12.38</v>
      </c>
      <c r="FE59" s="79">
        <f>(FE57*FS57+FE58*FS58)/FS59</f>
        <v>9.2113095238095244E-3</v>
      </c>
      <c r="FF59" s="29">
        <f t="shared" ref="FF59:FJ59" si="1115">SUM(FF57:FF58)</f>
        <v>0</v>
      </c>
      <c r="FG59" s="79">
        <f>(FG57*FS57+FG58*FS58)/FS59</f>
        <v>0</v>
      </c>
      <c r="FH59" s="30">
        <f>SUM(FH57:FH58)</f>
        <v>7.32</v>
      </c>
      <c r="FI59" s="79">
        <f>(FI57*FS57+FI58*FS58)/FS59</f>
        <v>5.4464285714285717E-3</v>
      </c>
      <c r="FJ59" s="29">
        <f t="shared" si="1115"/>
        <v>0</v>
      </c>
      <c r="FK59" s="78">
        <f>(FK57*FS57+FK58*FS58)/FS59</f>
        <v>0.89005376344086029</v>
      </c>
      <c r="FL59" s="79">
        <f>(FL57*FS57+FL58*FS58)/FS59</f>
        <v>0.98541666666666672</v>
      </c>
      <c r="FM59" s="79">
        <f>(FM57*FS57+FM58*FS58)/FS59</f>
        <v>2.149595468906813E-2</v>
      </c>
      <c r="FN59" s="79"/>
      <c r="FO59" s="81">
        <f>(FO57*FS57+FO58*FS58)/FS59</f>
        <v>0.26945346320346319</v>
      </c>
      <c r="FP59" s="149"/>
      <c r="FQ59" s="30">
        <f>SUM(FQ57:FQ58)</f>
        <v>1344</v>
      </c>
      <c r="FR59" s="33">
        <f>SUM(FR57:FR58)</f>
        <v>29877</v>
      </c>
      <c r="FS59" s="29">
        <f>SUM(FS57:FS58)</f>
        <v>165</v>
      </c>
      <c r="FV59" s="87" t="s">
        <v>39</v>
      </c>
      <c r="FW59" s="47">
        <f>SUM(FW57:FW58)</f>
        <v>1480.4</v>
      </c>
      <c r="FX59" s="29">
        <f t="shared" ref="FX59:FZ59" si="1116">SUM(FX57:FX58)</f>
        <v>860.90000000000009</v>
      </c>
      <c r="FY59" s="29">
        <f>SUM(FY57:FY58)</f>
        <v>619.5</v>
      </c>
      <c r="FZ59" s="29">
        <f t="shared" si="1116"/>
        <v>7.6000000000000005</v>
      </c>
      <c r="GA59" s="79">
        <f>(GA57*GO57+GA58*GO58)/GO59</f>
        <v>5.1075268817204304E-3</v>
      </c>
      <c r="GB59" s="29">
        <f t="shared" ref="GB59:GF59" si="1117">SUM(GB57:GB58)</f>
        <v>0</v>
      </c>
      <c r="GC59" s="79">
        <f>(GC57*GO57+GC58*GO58)/GO59</f>
        <v>0</v>
      </c>
      <c r="GD59" s="30">
        <f>SUM(GD57:GD58)</f>
        <v>0</v>
      </c>
      <c r="GE59" s="79">
        <f>(GE57*GO57+GE58*GO58)/GO59</f>
        <v>0</v>
      </c>
      <c r="GF59" s="29">
        <f t="shared" si="1117"/>
        <v>0</v>
      </c>
      <c r="GG59" s="78">
        <f>(GG57*GO57+GG58*GO58)/GO59</f>
        <v>0.99489247311827955</v>
      </c>
      <c r="GH59" s="79">
        <f>(GH57*GO57+GH58*GO58)/GO59</f>
        <v>0.99489247311827955</v>
      </c>
      <c r="GI59" s="79">
        <f>(GI57*GO57+GI58*GO58)/GO59</f>
        <v>8.5071947229832176E-3</v>
      </c>
      <c r="GJ59" s="79">
        <f>(GJ57*GO57+GJ58*GO58)/GO59</f>
        <v>0</v>
      </c>
      <c r="GK59" s="81">
        <f>(GK57*GO57+GK58*GO58)/GO59</f>
        <v>0.37932551319648095</v>
      </c>
      <c r="GL59" s="149"/>
      <c r="GM59" s="30">
        <f>SUM(GM57:GM58)</f>
        <v>1488</v>
      </c>
      <c r="GN59" s="89">
        <f>SUM(GN57:GN58)</f>
        <v>46566</v>
      </c>
      <c r="GO59" s="29">
        <f>SUM(GO57:GO58)</f>
        <v>165</v>
      </c>
      <c r="GR59" s="87" t="s">
        <v>39</v>
      </c>
      <c r="GS59" s="48">
        <f>SUM(GS57:GS58)</f>
        <v>1418.7</v>
      </c>
      <c r="GT59" s="48">
        <f t="shared" ref="GT59:GV59" si="1118">SUM(GT57:GT58)</f>
        <v>920</v>
      </c>
      <c r="GU59" s="120">
        <f>SUM(GU57:GU58)</f>
        <v>498.7</v>
      </c>
      <c r="GV59" s="48">
        <f t="shared" si="1118"/>
        <v>0</v>
      </c>
      <c r="GW59" s="118">
        <f>(GW57*HK57+GW58*HK58)/HK59</f>
        <v>0</v>
      </c>
      <c r="GX59" s="48">
        <f t="shared" ref="GX59:HB59" si="1119">SUM(GX57:GX58)</f>
        <v>0</v>
      </c>
      <c r="GY59" s="118">
        <f>(GY57*HK57+GY58*HK58)/HK59</f>
        <v>0</v>
      </c>
      <c r="GZ59" s="120">
        <f>SUM(GZ57:GZ58)</f>
        <v>21.3</v>
      </c>
      <c r="HA59" s="116">
        <f>(HA57*HK57+HA58*HK58)/HK59</f>
        <v>1.4791666666666668E-2</v>
      </c>
      <c r="HB59" s="48">
        <f t="shared" si="1119"/>
        <v>0</v>
      </c>
      <c r="HC59" s="116">
        <f>(HC57*HK57+HC58*HK58)/HK59</f>
        <v>0.95342741935483888</v>
      </c>
      <c r="HD59" s="118">
        <f>(HD57*HK57+HD58*HK58)/HK59</f>
        <v>0.98520833333333324</v>
      </c>
      <c r="HE59" s="118">
        <f>(HE57*HK57+HE58*HK58)/HK59</f>
        <v>0</v>
      </c>
      <c r="HF59" s="118">
        <f>(HF57*HK57+HF58*HK58)/HK59</f>
        <v>0</v>
      </c>
      <c r="HG59" s="119">
        <f>(HG57*HK57+HG58*HK58)/HK59</f>
        <v>0.45078282828282829</v>
      </c>
      <c r="HH59" s="48">
        <f t="shared" ref="HH59" si="1120">SUM(HH57:HH58)</f>
        <v>0</v>
      </c>
      <c r="HI59" s="120">
        <f>SUM(HI57:HI58)</f>
        <v>1440</v>
      </c>
      <c r="HJ59" s="125">
        <f>SUM(HJ57:HJ58)</f>
        <v>53553</v>
      </c>
      <c r="HK59" s="48">
        <f>SUM(HK57:HK58)</f>
        <v>165</v>
      </c>
      <c r="HN59" s="87" t="s">
        <v>39</v>
      </c>
      <c r="HO59" s="29">
        <f>SUM(HO57:HO58)</f>
        <v>1102.7</v>
      </c>
      <c r="HP59" s="29">
        <f t="shared" ref="HP59:HR59" si="1121">SUM(HP57:HP58)</f>
        <v>394.92</v>
      </c>
      <c r="HQ59" s="29">
        <f>SUM(HQ57:HQ58)</f>
        <v>707.79</v>
      </c>
      <c r="HR59" s="29">
        <f t="shared" si="1121"/>
        <v>202.5</v>
      </c>
      <c r="HS59" s="79">
        <f>(HS57*IG57+HS58*IG58)/IG59</f>
        <v>0.13608870967741934</v>
      </c>
      <c r="HT59" s="29">
        <f t="shared" ref="HT59:HX59" si="1122">SUM(HT57:HT58)</f>
        <v>182.8</v>
      </c>
      <c r="HU59" s="79">
        <f>(HU57*IG57+HU58*IG58)/IG59</f>
        <v>0.1228494623655914</v>
      </c>
      <c r="HV59" s="30">
        <f>SUM(HV57:HV58)</f>
        <v>0</v>
      </c>
      <c r="HW59" s="78">
        <f>(HW57*IG57+HW58*IG58)/IG59</f>
        <v>0</v>
      </c>
      <c r="HX59" s="29">
        <f t="shared" si="1122"/>
        <v>0</v>
      </c>
      <c r="HY59" s="78">
        <f>(HY57*IG57+HY58*IG58)/IG59</f>
        <v>0.74106182795698927</v>
      </c>
      <c r="HZ59" s="79">
        <f>(HZ57*IG57+HZ58*IG58)/IG59</f>
        <v>0.74106182795698927</v>
      </c>
      <c r="IA59" s="79">
        <f>(IA57*IG57+IA58*IG58)/IG59</f>
        <v>0.27850364461559618</v>
      </c>
      <c r="IB59" s="79">
        <f>(IB57*IG57+IB58*IG58)/IG59</f>
        <v>0</v>
      </c>
      <c r="IC59" s="81">
        <f>(IC57*IG57+IC58*IG58)/IG59</f>
        <v>0.17250733137829916</v>
      </c>
      <c r="ID59" s="29">
        <f t="shared" ref="ID59" si="1123">SUM(ID57:ID58)</f>
        <v>1</v>
      </c>
      <c r="IE59" s="30">
        <f>SUM(IE57:IE58)</f>
        <v>1488</v>
      </c>
      <c r="IF59" s="89">
        <f>SUM(IF57:IF58)</f>
        <v>21177</v>
      </c>
      <c r="IG59" s="29">
        <f>SUM(IG57:IG58)</f>
        <v>165</v>
      </c>
      <c r="IJ59" s="87" t="s">
        <v>84</v>
      </c>
      <c r="IK59" s="90">
        <f>SUM(IK57:IK58)</f>
        <v>720</v>
      </c>
      <c r="IL59" s="90">
        <f t="shared" ref="IL59:IM59" si="1124">SUM(IL57:IL58)</f>
        <v>339.2</v>
      </c>
      <c r="IM59" s="90">
        <f t="shared" si="1124"/>
        <v>380.8</v>
      </c>
      <c r="IN59" s="90">
        <f t="shared" ref="IN59" si="1125">SUM(IN57:IN58)</f>
        <v>720</v>
      </c>
      <c r="IO59" s="78">
        <f>(IO57*JC57+IO58*JC58)/JC59</f>
        <v>0.5</v>
      </c>
      <c r="IP59" s="29">
        <f>SUM(IP57:IP58)</f>
        <v>0</v>
      </c>
      <c r="IQ59" s="78">
        <f>(IQ57*JC57+IQ58*JC58)/JC59</f>
        <v>0</v>
      </c>
      <c r="IR59" s="29">
        <f>SUM(IR57:IR58)</f>
        <v>0</v>
      </c>
      <c r="IS59" s="78">
        <f>(IS57*JC57+IS58*JC58)/JC59</f>
        <v>0</v>
      </c>
      <c r="IT59" s="29">
        <f>SUM(IT57:IT58)</f>
        <v>0</v>
      </c>
      <c r="IU59" s="79">
        <f>(IU57*JC57+IU58*JC58)/JC59</f>
        <v>0.5</v>
      </c>
      <c r="IV59" s="80">
        <f>(IV57*JC57+IV58*JC58)/JC59</f>
        <v>0.5</v>
      </c>
      <c r="IW59" s="80">
        <f>(IW57*JC57+IW58*JC58)/JC59</f>
        <v>0.5</v>
      </c>
      <c r="IX59" s="80">
        <f>(IX57*JC57+IX58*JC58)/JC59</f>
        <v>0</v>
      </c>
      <c r="IY59" s="80">
        <f>(IY57*JC57+IY58*JC58)/JC59</f>
        <v>0.174486531986532</v>
      </c>
      <c r="IZ59" s="29">
        <f>SUM(IZ57:IZ58)</f>
        <v>1</v>
      </c>
      <c r="JA59" s="33">
        <f>SUM(JA57:JA58)</f>
        <v>1440</v>
      </c>
      <c r="JB59" s="47">
        <f>SUM(JB57:JB58)</f>
        <v>20729</v>
      </c>
      <c r="JC59" s="29">
        <f>SUM(JC57:JC58)</f>
        <v>165</v>
      </c>
    </row>
    <row r="60" spans="1:263" ht="15" x14ac:dyDescent="0.25">
      <c r="A60" s="74" t="s">
        <v>67</v>
      </c>
      <c r="B60" s="37" t="s">
        <v>68</v>
      </c>
      <c r="C60" s="8">
        <f>1456/2</f>
        <v>728</v>
      </c>
      <c r="D60" s="8">
        <f>626/2</f>
        <v>313</v>
      </c>
      <c r="E60" s="8">
        <f>830/2</f>
        <v>415</v>
      </c>
      <c r="F60" s="8">
        <v>0</v>
      </c>
      <c r="G60" s="6">
        <f>(F60/$B$4)</f>
        <v>0</v>
      </c>
      <c r="H60" s="8">
        <v>0</v>
      </c>
      <c r="I60" s="6">
        <f>(H60/$B$4)</f>
        <v>0</v>
      </c>
      <c r="J60" s="6">
        <f>32/2</f>
        <v>16</v>
      </c>
      <c r="K60" s="6">
        <f>(J60/$B$4)</f>
        <v>2.1505376344086023E-2</v>
      </c>
      <c r="L60" s="8">
        <v>0</v>
      </c>
      <c r="M60" s="69">
        <f>(C60/$B$4)</f>
        <v>0.978494623655914</v>
      </c>
      <c r="N60" s="69">
        <f>((C60-L60)/$B$4)</f>
        <v>0.978494623655914</v>
      </c>
      <c r="O60" s="69">
        <f>IF((AND(D60=0,F60=0)),0,(F60+L60)/(D60+F60+L60))</f>
        <v>0</v>
      </c>
      <c r="P60" s="149">
        <f>L60/$B$4</f>
        <v>0</v>
      </c>
      <c r="Q60" s="69">
        <f>(T60/($B$4*U60))</f>
        <v>0.3380571847507331</v>
      </c>
      <c r="R60" s="15">
        <v>0</v>
      </c>
      <c r="S60" s="6">
        <f>SUM(D60:F60,H60,J60)</f>
        <v>744</v>
      </c>
      <c r="T60" s="38">
        <v>13833.3</v>
      </c>
      <c r="U60" s="8">
        <v>55</v>
      </c>
      <c r="W60" s="74" t="s">
        <v>67</v>
      </c>
      <c r="X60" s="37" t="s">
        <v>68</v>
      </c>
      <c r="Y60" s="8">
        <f>1488/2</f>
        <v>744</v>
      </c>
      <c r="Z60" s="8">
        <f>871.5/2</f>
        <v>435.75</v>
      </c>
      <c r="AA60" s="8">
        <f>616.5/2</f>
        <v>308.25</v>
      </c>
      <c r="AB60" s="8">
        <v>0</v>
      </c>
      <c r="AC60" s="6">
        <f>(AB60/$X$4)</f>
        <v>0</v>
      </c>
      <c r="AD60" s="8">
        <f>0/2</f>
        <v>0</v>
      </c>
      <c r="AE60" s="6">
        <f>(AD60/$X$4)</f>
        <v>0</v>
      </c>
      <c r="AF60" s="6">
        <v>0</v>
      </c>
      <c r="AG60" s="6">
        <f>(AF60/$X$4)</f>
        <v>0</v>
      </c>
      <c r="AH60" s="8">
        <v>0</v>
      </c>
      <c r="AI60" s="69">
        <f>(Y60/$X$4)</f>
        <v>1</v>
      </c>
      <c r="AJ60" s="69">
        <f>((Y60-AH60)/$X$4)</f>
        <v>1</v>
      </c>
      <c r="AK60" s="149">
        <f>IF((AND(Z60=0,AB60=0)),0,(AB60+AH60)/(Z60+AB60+AH60))</f>
        <v>0</v>
      </c>
      <c r="AL60" s="149">
        <f>AH60/$X$4</f>
        <v>0</v>
      </c>
      <c r="AM60" s="69">
        <f>(AP60/($X$4*AQ60))</f>
        <v>0.43959433040078205</v>
      </c>
      <c r="AN60" s="15">
        <v>0</v>
      </c>
      <c r="AO60" s="6">
        <f>SUM(Z60:AB60,AD60,AF60)</f>
        <v>744</v>
      </c>
      <c r="AP60" s="43">
        <v>17988.2</v>
      </c>
      <c r="AQ60" s="8">
        <v>55</v>
      </c>
      <c r="AS60" s="74" t="s">
        <v>67</v>
      </c>
      <c r="AT60" s="37" t="s">
        <v>68</v>
      </c>
      <c r="AU60" s="8">
        <f>1440/2</f>
        <v>720</v>
      </c>
      <c r="AV60" s="8">
        <f>818.4/2</f>
        <v>409.2</v>
      </c>
      <c r="AW60" s="8">
        <f>621.6/2</f>
        <v>310.8</v>
      </c>
      <c r="AX60" s="8">
        <v>0</v>
      </c>
      <c r="AY60" s="6">
        <f>(AX60/$AT$4)</f>
        <v>0</v>
      </c>
      <c r="AZ60" s="8">
        <v>0</v>
      </c>
      <c r="BA60" s="6">
        <f>(AZ60/$AT$4)</f>
        <v>0</v>
      </c>
      <c r="BB60" s="8">
        <v>0</v>
      </c>
      <c r="BC60" s="6">
        <f>(BB60/$AT$4)</f>
        <v>0</v>
      </c>
      <c r="BD60" s="8">
        <v>0</v>
      </c>
      <c r="BE60" s="69">
        <f>(AU60/$AT$4)</f>
        <v>1</v>
      </c>
      <c r="BF60" s="69">
        <f>((AU60-BD60)/$AT$4)</f>
        <v>1</v>
      </c>
      <c r="BG60" s="69">
        <f>IF((AND(AV60=0,AX60=0)),0,(AX60+BD60)/(AV60+AX60+BD60))</f>
        <v>0</v>
      </c>
      <c r="BH60" s="149">
        <f>BD60/$AT$4</f>
        <v>0</v>
      </c>
      <c r="BI60" s="69">
        <f>(BL60/($AT$4*BM60))</f>
        <v>0.4348030303030303</v>
      </c>
      <c r="BJ60" s="6"/>
      <c r="BK60" s="6">
        <f>SUM(AV60:AX60,AZ60,BB60)</f>
        <v>720</v>
      </c>
      <c r="BL60" s="38">
        <v>17218.2</v>
      </c>
      <c r="BM60" s="8">
        <v>55</v>
      </c>
      <c r="BO60" s="74" t="s">
        <v>67</v>
      </c>
      <c r="BP60" s="37" t="s">
        <v>68</v>
      </c>
      <c r="BQ60" s="8">
        <f>1488/2</f>
        <v>744</v>
      </c>
      <c r="BR60" s="8">
        <f>815.9/2</f>
        <v>407.95</v>
      </c>
      <c r="BS60" s="8">
        <f>672.1/2</f>
        <v>336.05</v>
      </c>
      <c r="BT60" s="8">
        <v>0</v>
      </c>
      <c r="BU60" s="6">
        <f>(BT60/$BP$4)</f>
        <v>0</v>
      </c>
      <c r="BV60" s="8">
        <v>0</v>
      </c>
      <c r="BW60" s="6">
        <f>(BV60/$BP$4)</f>
        <v>0</v>
      </c>
      <c r="BX60" s="6">
        <v>0</v>
      </c>
      <c r="BY60" s="6">
        <f>(BX60/$BP$4)</f>
        <v>0</v>
      </c>
      <c r="BZ60" s="8">
        <v>0</v>
      </c>
      <c r="CA60" s="69">
        <f>(BQ60/$BP$4)</f>
        <v>1</v>
      </c>
      <c r="CB60" s="69">
        <f>((BQ60-BZ60)/$BP$4)</f>
        <v>1</v>
      </c>
      <c r="CC60" s="149">
        <f>IF((AND(BR60=0,BT60=0)),0,(BT60+BZ60)/(BR60+BT60+BZ60))</f>
        <v>0</v>
      </c>
      <c r="CD60" s="149">
        <f>BZ60/$BP$4</f>
        <v>0</v>
      </c>
      <c r="CE60" s="69">
        <f>(CH60/($BP$4*CI60))</f>
        <v>0.43528347996089928</v>
      </c>
      <c r="CF60" s="6"/>
      <c r="CG60" s="42">
        <f>SUM(BR60:BT60,BV60,BX60)</f>
        <v>744</v>
      </c>
      <c r="CH60" s="38">
        <v>17811.8</v>
      </c>
      <c r="CI60" s="8">
        <v>55</v>
      </c>
      <c r="CK60" s="74" t="s">
        <v>67</v>
      </c>
      <c r="CL60" s="37" t="s">
        <v>68</v>
      </c>
      <c r="CM60" s="8">
        <f>1440/2</f>
        <v>720</v>
      </c>
      <c r="CN60" s="8">
        <f>608.1/2</f>
        <v>304.05</v>
      </c>
      <c r="CO60" s="8">
        <f>831.9/2</f>
        <v>415.95</v>
      </c>
      <c r="CP60" s="8">
        <v>0</v>
      </c>
      <c r="CQ60" s="6">
        <f>(CP60/$CL$4)</f>
        <v>0</v>
      </c>
      <c r="CR60" s="8">
        <v>0</v>
      </c>
      <c r="CS60" s="8">
        <f>(CR60/$CL$4)</f>
        <v>0</v>
      </c>
      <c r="CT60" s="6">
        <v>0</v>
      </c>
      <c r="CU60" s="6">
        <f>(CT60/$CL$4)</f>
        <v>0</v>
      </c>
      <c r="CV60" s="8">
        <v>0</v>
      </c>
      <c r="CW60" s="69">
        <f>(CM60/$CL$4)</f>
        <v>1</v>
      </c>
      <c r="CX60" s="69">
        <f>((CM60-CV60)/$CL$4)</f>
        <v>1</v>
      </c>
      <c r="CY60" s="149">
        <f>IF((AND(CN60=0,CP60=0)),0,(CP60+CV60)/(CN60+CP60+CV60))</f>
        <v>0</v>
      </c>
      <c r="CZ60" s="149">
        <f>CV60/$CL$4</f>
        <v>0</v>
      </c>
      <c r="DA60" s="69">
        <f>(DD60/($CL$4*DE60))</f>
        <v>0.33005555555555555</v>
      </c>
      <c r="DB60" s="6"/>
      <c r="DC60" s="6">
        <f>SUM(CN60:CP60,CR60,CT60)</f>
        <v>720</v>
      </c>
      <c r="DD60" s="46">
        <v>13070.2</v>
      </c>
      <c r="DE60" s="8">
        <v>55</v>
      </c>
      <c r="DG60" s="74" t="s">
        <v>67</v>
      </c>
      <c r="DH60" s="37" t="s">
        <v>68</v>
      </c>
      <c r="DI60" s="8">
        <f>1488/2</f>
        <v>744</v>
      </c>
      <c r="DJ60" s="8">
        <f>773.5/2</f>
        <v>386.75</v>
      </c>
      <c r="DK60" s="8">
        <f>714.5/2</f>
        <v>357.25</v>
      </c>
      <c r="DL60" s="8">
        <v>0</v>
      </c>
      <c r="DM60" s="69">
        <f>(DL60/$DH$4)</f>
        <v>0</v>
      </c>
      <c r="DN60" s="8">
        <v>0</v>
      </c>
      <c r="DO60" s="69">
        <f>(DN60/$DH$4)</f>
        <v>0</v>
      </c>
      <c r="DP60" s="6">
        <v>0</v>
      </c>
      <c r="DQ60" s="69">
        <f>(DP60/$DH$4)</f>
        <v>0</v>
      </c>
      <c r="DR60" s="8">
        <v>0</v>
      </c>
      <c r="DS60" s="69">
        <f>(DI60/$X$4)</f>
        <v>1</v>
      </c>
      <c r="DT60" s="69">
        <f>((DI60-DR60)/$DH$4)</f>
        <v>1</v>
      </c>
      <c r="DU60" s="149">
        <f>IF((AND(DJ60=0,DL60=0)),0,(DL60+DR60)/(DJ60+DL60+DR60))</f>
        <v>0</v>
      </c>
      <c r="DV60" s="149">
        <f>DR60/$DH$4</f>
        <v>0</v>
      </c>
      <c r="DW60" s="69">
        <f>(DZ60/($DH$4*EA60))</f>
        <v>0.41575757575757571</v>
      </c>
      <c r="DX60" s="69"/>
      <c r="DY60" s="15">
        <f>SUM(DJ60:DL60,DN60,DP60)</f>
        <v>744</v>
      </c>
      <c r="DZ60" s="38">
        <v>17012.8</v>
      </c>
      <c r="EA60" s="8">
        <v>55</v>
      </c>
      <c r="EC60" s="74" t="s">
        <v>67</v>
      </c>
      <c r="ED60" s="37" t="s">
        <v>68</v>
      </c>
      <c r="EE60" s="8">
        <f>1488/2</f>
        <v>744</v>
      </c>
      <c r="EF60" s="8">
        <f>595.3/2</f>
        <v>297.64999999999998</v>
      </c>
      <c r="EG60" s="8">
        <f>892.7/2</f>
        <v>446.35</v>
      </c>
      <c r="EH60" s="8">
        <v>0</v>
      </c>
      <c r="EI60" s="6">
        <f>(EH60/$ED$4)</f>
        <v>0</v>
      </c>
      <c r="EJ60" s="8">
        <v>0</v>
      </c>
      <c r="EK60" s="6">
        <f>(EJ60/$ED$4)</f>
        <v>0</v>
      </c>
      <c r="EL60" s="6">
        <v>0</v>
      </c>
      <c r="EM60" s="6">
        <f>(EL60/$ED$4)</f>
        <v>0</v>
      </c>
      <c r="EN60" s="8">
        <v>0</v>
      </c>
      <c r="EO60" s="69">
        <f>(EE60/$X$4)</f>
        <v>1</v>
      </c>
      <c r="EP60" s="69">
        <f>((EE60-EN60)/$ED$4)</f>
        <v>1</v>
      </c>
      <c r="EQ60" s="149">
        <f>IF((AND(EF60=0,EH60=0)),0,(EH60+EN60)/(EF60+EH60+EN60))</f>
        <v>0</v>
      </c>
      <c r="ER60" s="149"/>
      <c r="ES60" s="69">
        <f>(EV60/($ED$4*EW60))*100</f>
        <v>31.731671554252198</v>
      </c>
      <c r="ET60" s="6"/>
      <c r="EU60" s="6">
        <f>SUM(EF60:EH60,EJ60,EL60)</f>
        <v>744</v>
      </c>
      <c r="EV60" s="38">
        <v>12984.6</v>
      </c>
      <c r="EW60" s="8">
        <v>55</v>
      </c>
      <c r="EY60" s="74" t="s">
        <v>67</v>
      </c>
      <c r="EZ60" s="37" t="s">
        <v>68</v>
      </c>
      <c r="FA60" s="8">
        <f>405/2</f>
        <v>202.5</v>
      </c>
      <c r="FB60" s="8">
        <f>42.4/2</f>
        <v>21.2</v>
      </c>
      <c r="FC60" s="8">
        <f>362.6/2</f>
        <v>181.3</v>
      </c>
      <c r="FD60" s="8">
        <f>939/2</f>
        <v>469.5</v>
      </c>
      <c r="FE60" s="6">
        <f>(FD60/$EZ$4)</f>
        <v>0.6986607142857143</v>
      </c>
      <c r="FF60" s="8">
        <v>0</v>
      </c>
      <c r="FG60" s="6">
        <f>(FF60/$EZ$4)</f>
        <v>0</v>
      </c>
      <c r="FH60" s="6">
        <v>0</v>
      </c>
      <c r="FI60" s="6">
        <f>(FH60/$EZ$4)</f>
        <v>0</v>
      </c>
      <c r="FJ60" s="8">
        <v>0</v>
      </c>
      <c r="FK60" s="69">
        <f>(FA60/$X$4)</f>
        <v>0.27217741935483869</v>
      </c>
      <c r="FL60" s="69">
        <f>((FA60-FJ60)/$EZ$4)</f>
        <v>0.3013392857142857</v>
      </c>
      <c r="FM60" s="149">
        <f>IF((AND(FB60=0,FD60=0)),0,(FD60+FJ60)/(FB60+FD60+FJ60))</f>
        <v>0.95679641328714082</v>
      </c>
      <c r="FN60" s="149">
        <f>FJ60/$EZ$4</f>
        <v>0</v>
      </c>
      <c r="FO60" s="69">
        <f>(FR60/($EZ$4*FS60))</f>
        <v>2.7483766233766232E-2</v>
      </c>
      <c r="FP60" s="6"/>
      <c r="FQ60" s="6">
        <f>SUM(FB60:FD60,FF60,FH60)</f>
        <v>672</v>
      </c>
      <c r="FR60" s="38">
        <v>1015.8</v>
      </c>
      <c r="FS60" s="8">
        <v>55</v>
      </c>
      <c r="FU60" s="74" t="s">
        <v>67</v>
      </c>
      <c r="FV60" s="37" t="s">
        <v>68</v>
      </c>
      <c r="FW60" s="8">
        <v>0</v>
      </c>
      <c r="FX60" s="8">
        <v>0</v>
      </c>
      <c r="FY60" s="8">
        <v>0</v>
      </c>
      <c r="FZ60" s="8">
        <f>1488/2</f>
        <v>744</v>
      </c>
      <c r="GA60" s="69">
        <f>(FZ60/$FV$4)</f>
        <v>1</v>
      </c>
      <c r="GB60" s="8">
        <v>0</v>
      </c>
      <c r="GC60" s="69">
        <f>(GB60/$FV$4)</f>
        <v>0</v>
      </c>
      <c r="GD60" s="6">
        <v>0</v>
      </c>
      <c r="GE60" s="6">
        <f>(GD60/$FV$4)</f>
        <v>0</v>
      </c>
      <c r="GF60" s="8">
        <v>0</v>
      </c>
      <c r="GG60" s="69">
        <f>(FW60/$X$4)</f>
        <v>0</v>
      </c>
      <c r="GH60" s="69">
        <f>((FW60-GF60)/$FV$4)</f>
        <v>0</v>
      </c>
      <c r="GI60" s="149">
        <f>IF((AND(FX60=0,FZ60=0)),0,(FZ60+GF60)/(FX60+FZ60+GF60))</f>
        <v>1</v>
      </c>
      <c r="GJ60" s="149">
        <f>GF60/$FV$4</f>
        <v>0</v>
      </c>
      <c r="GK60" s="69">
        <f>(GN60/($FV$4*GO60))</f>
        <v>0</v>
      </c>
      <c r="GL60" s="69"/>
      <c r="GM60" s="6">
        <f>SUM(FX60:FZ60,GB60,GD60)</f>
        <v>744</v>
      </c>
      <c r="GN60" s="8">
        <v>0</v>
      </c>
      <c r="GO60" s="8">
        <v>55</v>
      </c>
      <c r="GQ60" s="74" t="s">
        <v>67</v>
      </c>
      <c r="GR60" s="37" t="s">
        <v>68</v>
      </c>
      <c r="GS60" s="8">
        <v>0</v>
      </c>
      <c r="GT60" s="8">
        <v>0</v>
      </c>
      <c r="GU60" s="8">
        <v>0</v>
      </c>
      <c r="GV60" s="8">
        <f>1440/2</f>
        <v>720</v>
      </c>
      <c r="GW60" s="6">
        <f>(GV60/$GR$4)</f>
        <v>1</v>
      </c>
      <c r="GX60" s="8">
        <v>0</v>
      </c>
      <c r="GY60" s="8">
        <f>(GX60/$GR$4)</f>
        <v>0</v>
      </c>
      <c r="GZ60" s="8">
        <v>0</v>
      </c>
      <c r="HA60" s="6">
        <f>(GZ60/$GR$4)</f>
        <v>0</v>
      </c>
      <c r="HB60" s="8">
        <v>0</v>
      </c>
      <c r="HC60" s="69">
        <f>(GS60/$X$4)</f>
        <v>0</v>
      </c>
      <c r="HD60" s="69">
        <f>((GS60-HB60)/$GR$4)</f>
        <v>0</v>
      </c>
      <c r="HE60" s="149">
        <f>IF((AND(GT60=0,GV60=0)),0,(GV60+HB60)/(GT60+GV60+HB60))</f>
        <v>1</v>
      </c>
      <c r="HF60" s="149">
        <f>HB60/$GR$4</f>
        <v>0</v>
      </c>
      <c r="HG60" s="69">
        <f>(HJ60/($GR$4*HK60))</f>
        <v>0</v>
      </c>
      <c r="HH60" s="15">
        <v>0</v>
      </c>
      <c r="HI60" s="6">
        <f>SUM(GT60:GV60,GX60,GZ60)</f>
        <v>720</v>
      </c>
      <c r="HJ60" s="8">
        <v>0</v>
      </c>
      <c r="HK60" s="8">
        <v>55</v>
      </c>
      <c r="HM60" s="74" t="s">
        <v>67</v>
      </c>
      <c r="HN60" s="37" t="s">
        <v>68</v>
      </c>
      <c r="HO60" s="8">
        <v>0</v>
      </c>
      <c r="HP60" s="8">
        <v>0</v>
      </c>
      <c r="HQ60" s="8">
        <v>0</v>
      </c>
      <c r="HR60" s="8">
        <f>1488/2</f>
        <v>744</v>
      </c>
      <c r="HS60" s="6">
        <f>(HR60/$HN$4)</f>
        <v>1</v>
      </c>
      <c r="HT60" s="8">
        <v>0</v>
      </c>
      <c r="HU60" s="6">
        <f>(HT60/$HN$4)</f>
        <v>0</v>
      </c>
      <c r="HV60" s="8">
        <v>0</v>
      </c>
      <c r="HW60" s="6">
        <f>(HV60/$HN$4)</f>
        <v>0</v>
      </c>
      <c r="HX60" s="8">
        <v>0</v>
      </c>
      <c r="HY60" s="69">
        <f>(HO60/$HN$4)</f>
        <v>0</v>
      </c>
      <c r="HZ60" s="69">
        <f>((HO60-HX60)/$HN$4)</f>
        <v>0</v>
      </c>
      <c r="IA60" s="69">
        <f>IF((AND(HP60=0,HR60=0)),0,(HR60+HX60)/(HP60+HR60))</f>
        <v>1</v>
      </c>
      <c r="IB60" s="149">
        <f>HX60/$HN$4</f>
        <v>0</v>
      </c>
      <c r="IC60" s="69">
        <f>(IF60/($HN$4*IG60))</f>
        <v>0</v>
      </c>
      <c r="ID60" s="15">
        <v>0</v>
      </c>
      <c r="IE60" s="6">
        <f>SUM(HP60:HR60,HT60,HV60)</f>
        <v>744</v>
      </c>
      <c r="IF60" s="8">
        <v>0</v>
      </c>
      <c r="IG60" s="8">
        <v>55</v>
      </c>
      <c r="II60" s="74" t="s">
        <v>67</v>
      </c>
      <c r="IJ60" s="37" t="s">
        <v>68</v>
      </c>
      <c r="IK60" s="8">
        <v>0</v>
      </c>
      <c r="IL60" s="8">
        <v>0</v>
      </c>
      <c r="IM60" s="8">
        <v>0</v>
      </c>
      <c r="IN60" s="8">
        <f>1440/2</f>
        <v>720</v>
      </c>
      <c r="IO60" s="69">
        <f>(IN60/$IJ$4)</f>
        <v>1</v>
      </c>
      <c r="IP60" s="8">
        <v>0</v>
      </c>
      <c r="IQ60" s="69">
        <f>(IP60/$IJ$4)</f>
        <v>0</v>
      </c>
      <c r="IR60" s="8">
        <v>0</v>
      </c>
      <c r="IS60" s="69">
        <f>(IR60/$IJ$4)</f>
        <v>0</v>
      </c>
      <c r="IT60" s="8">
        <v>0</v>
      </c>
      <c r="IU60" s="69">
        <f>(IK60/$IJ$4)</f>
        <v>0</v>
      </c>
      <c r="IV60" s="164">
        <f>((IK60-IT60)/$IJ$4)</f>
        <v>0</v>
      </c>
      <c r="IW60" s="164">
        <f>IF((AND(IL60=0,IN60=0)),0,(IN60+IT60)/(IL60+IN60+IT60))</f>
        <v>1</v>
      </c>
      <c r="IX60" s="149">
        <f>IT60/$IJ$4</f>
        <v>0</v>
      </c>
      <c r="IY60" s="69">
        <f>(JB60/($IJ$4*JC60))</f>
        <v>0</v>
      </c>
      <c r="IZ60" s="15">
        <v>0</v>
      </c>
      <c r="JA60" s="15">
        <f>SUM(IL60:IN60,IP60,IR60)</f>
        <v>720</v>
      </c>
      <c r="JB60" s="8">
        <v>0</v>
      </c>
      <c r="JC60" s="8">
        <v>55</v>
      </c>
    </row>
    <row r="61" spans="1:263" ht="14.25" x14ac:dyDescent="0.25">
      <c r="B61" s="37" t="s">
        <v>65</v>
      </c>
      <c r="C61" s="8">
        <f>1478/2</f>
        <v>739</v>
      </c>
      <c r="D61" s="8">
        <f>527.2/2</f>
        <v>263.60000000000002</v>
      </c>
      <c r="E61" s="8">
        <f>950.8/2</f>
        <v>475.4</v>
      </c>
      <c r="F61" s="8">
        <v>0</v>
      </c>
      <c r="G61" s="6">
        <f t="shared" ref="G61:G63" si="1126">(F61/$B$4)</f>
        <v>0</v>
      </c>
      <c r="H61" s="8">
        <v>0</v>
      </c>
      <c r="I61" s="6">
        <f>(H61/$B$4)</f>
        <v>0</v>
      </c>
      <c r="J61" s="6">
        <f>10/2</f>
        <v>5</v>
      </c>
      <c r="K61" s="6">
        <f t="shared" ref="K61:K63" si="1127">(J61/$B$4)</f>
        <v>6.7204301075268818E-3</v>
      </c>
      <c r="L61" s="8">
        <v>0</v>
      </c>
      <c r="M61" s="69">
        <f>(C61/$B$4)</f>
        <v>0.99327956989247312</v>
      </c>
      <c r="N61" s="69">
        <f>((C61-L61)/$B$4)</f>
        <v>0.99327956989247312</v>
      </c>
      <c r="O61" s="69">
        <f>IF((AND(D61=0,F61=0)),0,(F61+L61)/(D61+F61+L61))</f>
        <v>0</v>
      </c>
      <c r="P61" s="149">
        <f>L61/$B$4</f>
        <v>0</v>
      </c>
      <c r="Q61" s="69">
        <f>(T61/($B$4*U61))</f>
        <v>0.2870576735092864</v>
      </c>
      <c r="R61" s="15">
        <v>0</v>
      </c>
      <c r="S61" s="6">
        <f t="shared" ref="S61:S63" si="1128">SUM(D61:F61,H61,J61)</f>
        <v>744</v>
      </c>
      <c r="T61" s="38">
        <v>11746.4</v>
      </c>
      <c r="U61" s="8">
        <v>55</v>
      </c>
      <c r="X61" s="37" t="s">
        <v>65</v>
      </c>
      <c r="Y61" s="8">
        <f>1457.5/2</f>
        <v>728.75</v>
      </c>
      <c r="Z61" s="8">
        <f>824.6/2</f>
        <v>412.3</v>
      </c>
      <c r="AA61" s="8">
        <f>632.9/2</f>
        <v>316.45</v>
      </c>
      <c r="AB61" s="8">
        <f>30.5/2</f>
        <v>15.25</v>
      </c>
      <c r="AC61" s="6">
        <f t="shared" ref="AC61:AE63" si="1129">(AB61/$X$4)</f>
        <v>2.0497311827956988E-2</v>
      </c>
      <c r="AD61" s="8">
        <f>0/2</f>
        <v>0</v>
      </c>
      <c r="AE61" s="6">
        <f t="shared" si="1129"/>
        <v>0</v>
      </c>
      <c r="AF61" s="6">
        <v>0</v>
      </c>
      <c r="AG61" s="6">
        <f t="shared" ref="AG61" si="1130">(AF61/$X$4)</f>
        <v>0</v>
      </c>
      <c r="AH61" s="8">
        <v>0</v>
      </c>
      <c r="AI61" s="69">
        <f t="shared" ref="AI61:AI63" si="1131">(Y61/$X$4)</f>
        <v>0.979502688172043</v>
      </c>
      <c r="AJ61" s="69">
        <f t="shared" ref="AJ61:AJ63" si="1132">((Y61-AH61)/$X$4)</f>
        <v>0.979502688172043</v>
      </c>
      <c r="AK61" s="149">
        <f t="shared" ref="AK61:AK63" si="1133">IF((AND(Z61=0,AB61=0)),0,(AB61+AH61)/(Z61+AB61+AH61))</f>
        <v>3.566834288387323E-2</v>
      </c>
      <c r="AL61" s="149">
        <f t="shared" ref="AL61:AL63" si="1134">AH61/$X$4</f>
        <v>0</v>
      </c>
      <c r="AM61" s="69">
        <f t="shared" ref="AM61:AM63" si="1135">(AP61/($X$4*AQ61))</f>
        <v>0.41468475073313787</v>
      </c>
      <c r="AN61" s="15">
        <v>1</v>
      </c>
      <c r="AO61" s="6">
        <f t="shared" ref="AO61:AO63" si="1136">SUM(Z61:AB61,AD61,AF61)</f>
        <v>744</v>
      </c>
      <c r="AP61" s="43">
        <v>16968.900000000001</v>
      </c>
      <c r="AQ61" s="8">
        <v>55</v>
      </c>
      <c r="AT61" s="37" t="s">
        <v>65</v>
      </c>
      <c r="AU61" s="8">
        <f>1415/2</f>
        <v>707.5</v>
      </c>
      <c r="AV61" s="8">
        <f>705.9/2</f>
        <v>352.95</v>
      </c>
      <c r="AW61" s="8">
        <f>709.1/2</f>
        <v>354.55</v>
      </c>
      <c r="AX61" s="8">
        <f>25/2</f>
        <v>12.5</v>
      </c>
      <c r="AY61" s="6">
        <f t="shared" ref="AY61:BA62" si="1137">(AX61/$AT$4)</f>
        <v>1.7361111111111112E-2</v>
      </c>
      <c r="AZ61" s="8">
        <v>0</v>
      </c>
      <c r="BA61" s="6">
        <f t="shared" si="1137"/>
        <v>0</v>
      </c>
      <c r="BB61" s="8">
        <v>0</v>
      </c>
      <c r="BC61" s="6">
        <f t="shared" ref="BC61" si="1138">(BB61/$AT$4)</f>
        <v>0</v>
      </c>
      <c r="BD61" s="8">
        <v>0</v>
      </c>
      <c r="BE61" s="69">
        <f t="shared" ref="BE61" si="1139">(AU61/$AT$4)</f>
        <v>0.98263888888888884</v>
      </c>
      <c r="BF61" s="69">
        <f t="shared" ref="BF61" si="1140">((AU61-BD61)/$AT$4)</f>
        <v>0.98263888888888884</v>
      </c>
      <c r="BG61" s="69">
        <f t="shared" ref="BG61" si="1141">IF((AND(AV61=0,AX61=0)),0,(AX61+BD61)/(AV61+AX61+BD61))</f>
        <v>3.4204405527431932E-2</v>
      </c>
      <c r="BH61" s="149">
        <f t="shared" ref="BH61" si="1142">BD61/$AT$4</f>
        <v>0</v>
      </c>
      <c r="BI61" s="69">
        <f t="shared" ref="BI61" si="1143">(BL61/($AT$4*BM61))</f>
        <v>0.38015404040404044</v>
      </c>
      <c r="BJ61" s="6"/>
      <c r="BK61" s="6">
        <f t="shared" ref="BK61:BK63" si="1144">SUM(AV61:AX61,AZ61,BB61)</f>
        <v>720</v>
      </c>
      <c r="BL61" s="38">
        <v>15054.1</v>
      </c>
      <c r="BM61" s="8">
        <v>55</v>
      </c>
      <c r="BP61" s="37" t="s">
        <v>65</v>
      </c>
      <c r="BQ61" s="8">
        <f>1488/2</f>
        <v>744</v>
      </c>
      <c r="BR61" s="8">
        <f>782.3/2</f>
        <v>391.15</v>
      </c>
      <c r="BS61" s="8">
        <f>705.7/2</f>
        <v>352.85</v>
      </c>
      <c r="BT61" s="8">
        <v>0</v>
      </c>
      <c r="BU61" s="6">
        <f t="shared" ref="BU61:BW63" si="1145">(BT61/$BP$4)</f>
        <v>0</v>
      </c>
      <c r="BV61" s="8">
        <v>0</v>
      </c>
      <c r="BW61" s="6">
        <f t="shared" si="1145"/>
        <v>0</v>
      </c>
      <c r="BX61" s="6">
        <v>0</v>
      </c>
      <c r="BY61" s="6">
        <f t="shared" ref="BY61" si="1146">(BX61/$BP$4)</f>
        <v>0</v>
      </c>
      <c r="BZ61" s="8">
        <v>0</v>
      </c>
      <c r="CA61" s="69">
        <f t="shared" ref="CA61:CA62" si="1147">(BQ61/$BP$4)</f>
        <v>1</v>
      </c>
      <c r="CB61" s="69">
        <f t="shared" ref="CB61:CB62" si="1148">((BQ61-BZ61)/$BP$4)</f>
        <v>1</v>
      </c>
      <c r="CC61" s="149">
        <f t="shared" ref="CC61:CC62" si="1149">IF((AND(BR61=0,BT61=0)),0,(BT61+BZ61)/(BR61+BT61+BZ61))</f>
        <v>0</v>
      </c>
      <c r="CD61" s="149">
        <f t="shared" ref="CD61:CD62" si="1150">BZ61/$BP$4</f>
        <v>0</v>
      </c>
      <c r="CE61" s="69">
        <f t="shared" ref="CE61:CE62" si="1151">(CH61/($BP$4*CI61))</f>
        <v>0.41717986314760508</v>
      </c>
      <c r="CF61" s="6"/>
      <c r="CG61" s="42">
        <f t="shared" ref="CG61:CG63" si="1152">SUM(BR61:BT61,BV61,BX61)</f>
        <v>744</v>
      </c>
      <c r="CH61" s="38">
        <v>17071</v>
      </c>
      <c r="CI61" s="8">
        <v>55</v>
      </c>
      <c r="CL61" s="37" t="s">
        <v>65</v>
      </c>
      <c r="CM61" s="8">
        <f>1426/2</f>
        <v>713</v>
      </c>
      <c r="CN61" s="8">
        <f>485/2</f>
        <v>242.5</v>
      </c>
      <c r="CO61" s="8">
        <f>941/2</f>
        <v>470.5</v>
      </c>
      <c r="CP61" s="8">
        <v>0</v>
      </c>
      <c r="CQ61" s="6">
        <f t="shared" ref="CQ61:CQ63" si="1153">(CP61/$CL$4)</f>
        <v>0</v>
      </c>
      <c r="CR61" s="8">
        <f>14/2</f>
        <v>7</v>
      </c>
      <c r="CS61" s="6">
        <f t="shared" ref="CS61:CS63" si="1154">(CR61/$CL$4)</f>
        <v>9.7222222222222224E-3</v>
      </c>
      <c r="CT61" s="6">
        <v>0</v>
      </c>
      <c r="CU61" s="6">
        <f t="shared" ref="CU61:CU63" si="1155">(CT61/$CL$4)</f>
        <v>0</v>
      </c>
      <c r="CV61" s="8">
        <v>0</v>
      </c>
      <c r="CW61" s="69">
        <f t="shared" ref="CW61" si="1156">(CM61/$CL$4)</f>
        <v>0.99027777777777781</v>
      </c>
      <c r="CX61" s="69">
        <f t="shared" ref="CX61" si="1157">((CM61-CV61)/$CL$4)</f>
        <v>0.99027777777777781</v>
      </c>
      <c r="CY61" s="149">
        <f t="shared" ref="CY61" si="1158">IF((AND(CN61=0,CP61=0)),0,(CP61+CV61)/(CN61+CP61+CV61))</f>
        <v>0</v>
      </c>
      <c r="CZ61" s="149">
        <f t="shared" ref="CZ61" si="1159">CV61/$CL$4</f>
        <v>0</v>
      </c>
      <c r="DA61" s="69">
        <f t="shared" ref="DA61" si="1160">(DD61/($CL$4*DE61))</f>
        <v>0.26095202020202024</v>
      </c>
      <c r="DB61" s="6"/>
      <c r="DC61" s="6">
        <f t="shared" ref="DC61:DC63" si="1161">SUM(CN61:CP61,CR61,CT61)</f>
        <v>720</v>
      </c>
      <c r="DD61" s="46">
        <v>10333.700000000001</v>
      </c>
      <c r="DE61" s="8">
        <v>55</v>
      </c>
      <c r="DH61" s="37" t="s">
        <v>65</v>
      </c>
      <c r="DI61" s="8">
        <f>1417.7/2</f>
        <v>708.85</v>
      </c>
      <c r="DJ61" s="8">
        <f>571.1/2</f>
        <v>285.55</v>
      </c>
      <c r="DK61" s="8">
        <f>846.6/2</f>
        <v>423.3</v>
      </c>
      <c r="DL61" s="8">
        <f>51.5/2</f>
        <v>25.75</v>
      </c>
      <c r="DM61" s="69">
        <f>(DL61/$DH$4)</f>
        <v>3.4610215053763438E-2</v>
      </c>
      <c r="DN61" s="8">
        <f>18.8/2</f>
        <v>9.4</v>
      </c>
      <c r="DO61" s="69">
        <f>(DN61/$DH$4)</f>
        <v>1.2634408602150538E-2</v>
      </c>
      <c r="DP61" s="6">
        <v>0</v>
      </c>
      <c r="DQ61" s="69">
        <f>(DP61/$DH$4)</f>
        <v>0</v>
      </c>
      <c r="DR61" s="8">
        <v>0</v>
      </c>
      <c r="DS61" s="69">
        <f t="shared" ref="DS61" si="1162">(DI61/$X$4)</f>
        <v>0.95275537634408602</v>
      </c>
      <c r="DT61" s="69">
        <f t="shared" ref="DT61" si="1163">((DI61-DR61)/$DH$4)</f>
        <v>0.95275537634408602</v>
      </c>
      <c r="DU61" s="149">
        <f t="shared" ref="DU61" si="1164">IF((AND(DJ61=0,DL61=0)),0,(DL61+DR61)/(DJ61+DL61+DR61))</f>
        <v>8.2717635721169289E-2</v>
      </c>
      <c r="DV61" s="149">
        <f t="shared" ref="DV61" si="1165">DR61/$DH$4</f>
        <v>0</v>
      </c>
      <c r="DW61" s="69">
        <f t="shared" ref="DW61" si="1166">(DZ61/($DH$4*EA61))</f>
        <v>0.3137609970674487</v>
      </c>
      <c r="DX61" s="69"/>
      <c r="DY61" s="15">
        <f t="shared" ref="DY61:DY63" si="1167">SUM(DJ61:DL61,DN61,DP61)</f>
        <v>744</v>
      </c>
      <c r="DZ61" s="38">
        <v>12839.1</v>
      </c>
      <c r="EA61" s="8">
        <v>55</v>
      </c>
      <c r="ED61" s="37" t="s">
        <v>65</v>
      </c>
      <c r="EE61" s="8">
        <f>1488/2</f>
        <v>744</v>
      </c>
      <c r="EF61" s="6">
        <f>677.6/2</f>
        <v>338.8</v>
      </c>
      <c r="EG61" s="6">
        <f>810.4/2</f>
        <v>405.2</v>
      </c>
      <c r="EH61" s="8">
        <v>0</v>
      </c>
      <c r="EI61" s="6">
        <f t="shared" ref="EI61:EI63" si="1168">(EH61/$ED$4)</f>
        <v>0</v>
      </c>
      <c r="EJ61" s="8">
        <v>0</v>
      </c>
      <c r="EK61" s="6">
        <f t="shared" ref="EK61:EK63" si="1169">(EJ61/$ED$4)</f>
        <v>0</v>
      </c>
      <c r="EL61" s="6">
        <v>0</v>
      </c>
      <c r="EM61" s="6">
        <f t="shared" ref="EM61:EM63" si="1170">(EL61/$ED$4)</f>
        <v>0</v>
      </c>
      <c r="EN61" s="8">
        <v>0</v>
      </c>
      <c r="EO61" s="69">
        <f t="shared" ref="EO61:EO63" si="1171">(EE61/$X$4)</f>
        <v>1</v>
      </c>
      <c r="EP61" s="69">
        <f t="shared" ref="EP61:EP63" si="1172">((EE61-EN61)/$ED$4)</f>
        <v>1</v>
      </c>
      <c r="EQ61" s="149">
        <f t="shared" ref="EQ61:EQ63" si="1173">IF((AND(EF61=0,EH61=0)),0,(EH61+EN61)/(EF61+EH61+EN61))</f>
        <v>0</v>
      </c>
      <c r="ER61" s="149"/>
      <c r="ES61" s="69">
        <f t="shared" ref="ES61:ES63" si="1174">(EV61/($ED$4*EW61))*100</f>
        <v>36.380009775171068</v>
      </c>
      <c r="ET61" s="6"/>
      <c r="EU61" s="6">
        <f t="shared" ref="EU61:EU63" si="1175">SUM(EF61:EH61,EJ61,EL61)</f>
        <v>744</v>
      </c>
      <c r="EV61" s="38">
        <v>14886.7</v>
      </c>
      <c r="EW61" s="8">
        <v>55</v>
      </c>
      <c r="EZ61" s="37" t="s">
        <v>65</v>
      </c>
      <c r="FA61" s="8">
        <f>1344/2</f>
        <v>672</v>
      </c>
      <c r="FB61" s="8">
        <f>429.2/2</f>
        <v>214.6</v>
      </c>
      <c r="FC61" s="8">
        <f>914.8/2</f>
        <v>457.4</v>
      </c>
      <c r="FD61" s="8">
        <v>0</v>
      </c>
      <c r="FE61" s="6">
        <f t="shared" ref="FE61:FE63" si="1176">(FD61/$EZ$4)</f>
        <v>0</v>
      </c>
      <c r="FF61" s="8">
        <v>0</v>
      </c>
      <c r="FG61" s="6">
        <f t="shared" ref="FG61:FG63" si="1177">(FF61/$EZ$4)</f>
        <v>0</v>
      </c>
      <c r="FH61" s="6">
        <v>0</v>
      </c>
      <c r="FI61" s="6">
        <f t="shared" ref="FI61:FI63" si="1178">(FH61/$EZ$4)</f>
        <v>0</v>
      </c>
      <c r="FJ61" s="8">
        <v>0</v>
      </c>
      <c r="FK61" s="69">
        <f t="shared" ref="FK61:FK63" si="1179">(FA61/$X$4)</f>
        <v>0.90322580645161288</v>
      </c>
      <c r="FL61" s="69">
        <f t="shared" ref="FL61:FL63" si="1180">((FA61-FJ61)/$EZ$4)</f>
        <v>1</v>
      </c>
      <c r="FM61" s="149">
        <f t="shared" ref="FM61:FM63" si="1181">IF((AND(FB61=0,FD61=0)),0,(FD61+FJ61)/(FB61+FD61+FJ61))</f>
        <v>0</v>
      </c>
      <c r="FN61" s="149">
        <f t="shared" ref="FN61:FN63" si="1182">FJ61/$EZ$4</f>
        <v>0</v>
      </c>
      <c r="FO61" s="69">
        <f t="shared" ref="FO61:FO63" si="1183">(FR61/($EZ$4*FS61))</f>
        <v>0.26768939393939389</v>
      </c>
      <c r="FP61" s="6"/>
      <c r="FQ61" s="6">
        <f t="shared" ref="FQ61:FQ63" si="1184">SUM(FB61:FD61,FF61,FH61)</f>
        <v>672</v>
      </c>
      <c r="FR61" s="38">
        <v>9893.7999999999993</v>
      </c>
      <c r="FS61" s="8">
        <v>55</v>
      </c>
      <c r="FV61" s="37" t="s">
        <v>65</v>
      </c>
      <c r="FW61" s="8">
        <f>1488/2</f>
        <v>744</v>
      </c>
      <c r="FX61" s="8">
        <f>527.2/2</f>
        <v>263.60000000000002</v>
      </c>
      <c r="FY61" s="8">
        <f>960.8/2</f>
        <v>480.4</v>
      </c>
      <c r="FZ61" s="8">
        <v>0</v>
      </c>
      <c r="GA61" s="69">
        <f t="shared" ref="GA61:GA63" si="1185">(FZ61/$FV$4)</f>
        <v>0</v>
      </c>
      <c r="GB61" s="8">
        <v>0</v>
      </c>
      <c r="GC61" s="69">
        <f t="shared" ref="GC61:GC63" si="1186">(GB61/$FV$4)</f>
        <v>0</v>
      </c>
      <c r="GD61" s="6">
        <v>0</v>
      </c>
      <c r="GE61" s="6">
        <f t="shared" ref="GE61:GE63" si="1187">(GD61/$FV$4)</f>
        <v>0</v>
      </c>
      <c r="GF61" s="8">
        <v>0</v>
      </c>
      <c r="GG61" s="69">
        <f t="shared" ref="GG61:GG63" si="1188">(FW61/$X$4)</f>
        <v>1</v>
      </c>
      <c r="GH61" s="69">
        <f t="shared" ref="GH61:GH63" si="1189">((FW61-GF61)/$FV$4)</f>
        <v>1</v>
      </c>
      <c r="GI61" s="149">
        <f t="shared" ref="GI61:GI63" si="1190">IF((AND(FX61=0,FZ61=0)),0,(FZ61+GF61)/(FX61+FZ61+GF61))</f>
        <v>0</v>
      </c>
      <c r="GJ61" s="149">
        <f t="shared" ref="GJ61:GJ63" si="1191">GF61/$FV$4</f>
        <v>0</v>
      </c>
      <c r="GK61" s="69">
        <f t="shared" ref="GK61:GK63" si="1192">(GN61/($FV$4*GO61))</f>
        <v>0.30412512218963828</v>
      </c>
      <c r="GL61" s="69"/>
      <c r="GM61" s="6">
        <f t="shared" ref="GM61:GM63" si="1193">SUM(FX61:FZ61,GB61,GD61)</f>
        <v>744</v>
      </c>
      <c r="GN61" s="38">
        <v>12444.8</v>
      </c>
      <c r="GO61" s="8">
        <v>55</v>
      </c>
      <c r="GR61" s="37" t="s">
        <v>65</v>
      </c>
      <c r="GS61" s="8">
        <f>1440/2</f>
        <v>720</v>
      </c>
      <c r="GT61" s="8">
        <f>489.9/2</f>
        <v>244.95</v>
      </c>
      <c r="GU61" s="8">
        <f>(471.2+478.9)/2</f>
        <v>475.04999999999995</v>
      </c>
      <c r="GV61" s="8">
        <v>0</v>
      </c>
      <c r="GW61" s="6">
        <f t="shared" ref="GW61:GW63" si="1194">(GV61/$GR$4)</f>
        <v>0</v>
      </c>
      <c r="GX61" s="8">
        <v>0</v>
      </c>
      <c r="GY61" s="8">
        <f t="shared" ref="GY61:GY63" si="1195">(GX61/$GR$4)</f>
        <v>0</v>
      </c>
      <c r="GZ61" s="8">
        <v>0</v>
      </c>
      <c r="HA61" s="6">
        <f t="shared" ref="HA61:HA63" si="1196">(GZ61/$GR$4)</f>
        <v>0</v>
      </c>
      <c r="HB61" s="8">
        <v>0</v>
      </c>
      <c r="HC61" s="69">
        <f t="shared" ref="HC61:HC63" si="1197">(GS61/$X$4)</f>
        <v>0.967741935483871</v>
      </c>
      <c r="HD61" s="69">
        <f t="shared" ref="HD61:HD63" si="1198">((GS61-HB61)/$GR$4)</f>
        <v>1</v>
      </c>
      <c r="HE61" s="149">
        <f t="shared" ref="HE61:HE63" si="1199">IF((AND(GT61=0,GV61=0)),0,(GV61+HB61)/(GT61+GV61+HB61))</f>
        <v>0</v>
      </c>
      <c r="HF61" s="149">
        <f>HB61/$GR$4</f>
        <v>0</v>
      </c>
      <c r="HG61" s="69">
        <f t="shared" ref="HG61:HG63" si="1200">(HJ61/($GR$4*HK61))</f>
        <v>0.28836111111111112</v>
      </c>
      <c r="HH61" s="15">
        <v>0</v>
      </c>
      <c r="HI61" s="6">
        <f t="shared" ref="HI61:HI63" si="1201">SUM(GT61:GV61,GX61,GZ61)</f>
        <v>720</v>
      </c>
      <c r="HJ61" s="38">
        <v>11419.1</v>
      </c>
      <c r="HK61" s="8">
        <v>55</v>
      </c>
      <c r="HN61" s="37" t="s">
        <v>65</v>
      </c>
      <c r="HO61" s="8">
        <f>1488/2</f>
        <v>744</v>
      </c>
      <c r="HP61" s="8">
        <f>133.4/2</f>
        <v>66.7</v>
      </c>
      <c r="HQ61" s="8">
        <f>1354.6/2</f>
        <v>677.3</v>
      </c>
      <c r="HR61" s="8">
        <v>0</v>
      </c>
      <c r="HS61" s="6">
        <f t="shared" ref="HS61:HS63" si="1202">(HR61/$HN$4)</f>
        <v>0</v>
      </c>
      <c r="HT61" s="8">
        <v>0</v>
      </c>
      <c r="HU61" s="6">
        <f t="shared" ref="HU61:HU63" si="1203">(HT61/$HN$4)</f>
        <v>0</v>
      </c>
      <c r="HV61" s="8">
        <v>0</v>
      </c>
      <c r="HW61" s="6">
        <f t="shared" ref="HW61:HW63" si="1204">(HV61/$HN$4)</f>
        <v>0</v>
      </c>
      <c r="HX61" s="8">
        <v>0</v>
      </c>
      <c r="HY61" s="69">
        <f t="shared" ref="HY61:HY63" si="1205">(HO61/$HN$4)</f>
        <v>1</v>
      </c>
      <c r="HZ61" s="69">
        <f t="shared" ref="HZ61:HZ63" si="1206">((HO61-HX61)/$HN$4)</f>
        <v>1</v>
      </c>
      <c r="IA61" s="69">
        <f t="shared" ref="IA61:IA63" si="1207">IF((AND(HP61=0,HR61=0)),0,(HR61+HX61)/(HP61+HR61))</f>
        <v>0</v>
      </c>
      <c r="IB61" s="149">
        <f t="shared" ref="IB61:IB63" si="1208">HX61/$HN$4</f>
        <v>0</v>
      </c>
      <c r="IC61" s="69">
        <f t="shared" ref="IC61:IC63" si="1209">(IF61/($HN$4*IG61))</f>
        <v>7.4709188660801562E-2</v>
      </c>
      <c r="ID61" s="15">
        <v>0</v>
      </c>
      <c r="IE61" s="6">
        <f t="shared" ref="IE61:IE63" si="1210">SUM(HP61:HR61,HT61,HV61)</f>
        <v>744</v>
      </c>
      <c r="IF61" s="38">
        <v>3057.1</v>
      </c>
      <c r="IG61" s="8">
        <v>55</v>
      </c>
      <c r="IJ61" s="37" t="s">
        <v>65</v>
      </c>
      <c r="IK61" s="8">
        <f>(520.25+520.25)/2</f>
        <v>520.25</v>
      </c>
      <c r="IL61" s="8">
        <f>(94.1+86.7)/2</f>
        <v>90.4</v>
      </c>
      <c r="IM61" s="8">
        <f>(426.15+433.55)/2</f>
        <v>429.85</v>
      </c>
      <c r="IN61" s="8">
        <v>0</v>
      </c>
      <c r="IO61" s="69">
        <f t="shared" ref="IO61:IO63" si="1211">(IN61/$IJ$4)</f>
        <v>0</v>
      </c>
      <c r="IP61" s="8">
        <v>0</v>
      </c>
      <c r="IQ61" s="69">
        <f>(IP61/$IJ$4)</f>
        <v>0</v>
      </c>
      <c r="IR61" s="8">
        <f>(199.75+199.75)/2</f>
        <v>199.75</v>
      </c>
      <c r="IS61" s="69">
        <f>(IR61/$IJ$4)</f>
        <v>0.27743055555555557</v>
      </c>
      <c r="IT61" s="8">
        <v>0</v>
      </c>
      <c r="IU61" s="69">
        <f t="shared" ref="IU61:IU63" si="1212">(IK61/$IJ$4)</f>
        <v>0.72256944444444449</v>
      </c>
      <c r="IV61" s="164">
        <f t="shared" ref="IV61:IV63" si="1213">((IK61-IT61)/$IJ$4)</f>
        <v>0.72256944444444449</v>
      </c>
      <c r="IW61" s="164">
        <f t="shared" ref="IW61:IW63" si="1214">IF((AND(IL61=0,IN61=0)),0,(IN61+IT61)/(IL61+IN61+IT61))</f>
        <v>0</v>
      </c>
      <c r="IX61" s="149">
        <f t="shared" ref="IX61:IX63" si="1215">IT61/$IJ$4</f>
        <v>0</v>
      </c>
      <c r="IY61" s="69">
        <f t="shared" ref="IY61:IY63" si="1216">(JB61/($IJ$4*JC61))</f>
        <v>9.8739898989898989E-2</v>
      </c>
      <c r="IZ61" s="15">
        <v>0</v>
      </c>
      <c r="JA61" s="15">
        <f t="shared" ref="JA61:JA63" si="1217">SUM(IL61:IN61,IP61,IR61)</f>
        <v>720</v>
      </c>
      <c r="JB61" s="46">
        <v>3910.1</v>
      </c>
      <c r="JC61" s="8">
        <v>55</v>
      </c>
    </row>
    <row r="62" spans="1:263" ht="14.25" x14ac:dyDescent="0.25">
      <c r="B62" s="8">
        <v>3</v>
      </c>
      <c r="C62" s="8">
        <f>639/2</f>
        <v>319.5</v>
      </c>
      <c r="D62" s="8">
        <f>194.7/2</f>
        <v>97.35</v>
      </c>
      <c r="E62" s="8">
        <f>444.3/2</f>
        <v>222.15</v>
      </c>
      <c r="F62" s="8">
        <f>849/2</f>
        <v>424.5</v>
      </c>
      <c r="G62" s="6">
        <f t="shared" si="1126"/>
        <v>0.57056451612903225</v>
      </c>
      <c r="H62" s="8">
        <v>0</v>
      </c>
      <c r="I62" s="6">
        <f>(H62/$B$4)</f>
        <v>0</v>
      </c>
      <c r="J62" s="6">
        <v>0</v>
      </c>
      <c r="K62" s="6">
        <f t="shared" si="1127"/>
        <v>0</v>
      </c>
      <c r="L62" s="8">
        <v>0</v>
      </c>
      <c r="M62" s="69">
        <f>(C62/$B$4)</f>
        <v>0.42943548387096775</v>
      </c>
      <c r="N62" s="69">
        <f>((C62-L62)/$B$4)</f>
        <v>0.42943548387096775</v>
      </c>
      <c r="O62" s="69">
        <f>IF((AND(D62=0,F62=0)),0,(F62+L62)/(D62+F62+L62))</f>
        <v>0.81345214141994826</v>
      </c>
      <c r="P62" s="149">
        <f>L62/$B$4</f>
        <v>0</v>
      </c>
      <c r="Q62" s="69">
        <f>(T62/($B$4*U62))</f>
        <v>9.8040078201368522E-2</v>
      </c>
      <c r="R62" s="15">
        <v>0</v>
      </c>
      <c r="S62" s="6">
        <f t="shared" si="1128"/>
        <v>744</v>
      </c>
      <c r="T62" s="38">
        <v>4011.8</v>
      </c>
      <c r="U62" s="8">
        <v>55</v>
      </c>
      <c r="X62" s="8">
        <v>3</v>
      </c>
      <c r="Y62" s="8">
        <f>699.75/2</f>
        <v>349.875</v>
      </c>
      <c r="Z62" s="8">
        <f>333.5/2</f>
        <v>166.75</v>
      </c>
      <c r="AA62" s="6">
        <f>366.25/2</f>
        <v>183.125</v>
      </c>
      <c r="AB62" s="8">
        <f>781.5/2</f>
        <v>390.75</v>
      </c>
      <c r="AC62" s="6">
        <f t="shared" si="1129"/>
        <v>0.52520161290322576</v>
      </c>
      <c r="AD62" s="8">
        <v>0</v>
      </c>
      <c r="AE62" s="6">
        <f t="shared" si="1129"/>
        <v>0</v>
      </c>
      <c r="AF62" s="6">
        <f>6.75/2</f>
        <v>3.375</v>
      </c>
      <c r="AG62" s="6">
        <f t="shared" ref="AG62" si="1218">(AF62/$X$4)</f>
        <v>4.5362903225806455E-3</v>
      </c>
      <c r="AH62" s="8">
        <v>0</v>
      </c>
      <c r="AI62" s="69">
        <f t="shared" si="1131"/>
        <v>0.47026209677419356</v>
      </c>
      <c r="AJ62" s="69">
        <f t="shared" si="1132"/>
        <v>0.47026209677419356</v>
      </c>
      <c r="AK62" s="149">
        <f t="shared" si="1133"/>
        <v>0.70089686098654713</v>
      </c>
      <c r="AL62" s="149">
        <f t="shared" si="1134"/>
        <v>0</v>
      </c>
      <c r="AM62" s="69">
        <f t="shared" si="1135"/>
        <v>0.1787878787878788</v>
      </c>
      <c r="AN62" s="15">
        <v>1</v>
      </c>
      <c r="AO62" s="6">
        <f t="shared" si="1136"/>
        <v>744</v>
      </c>
      <c r="AP62" s="43">
        <v>7316</v>
      </c>
      <c r="AQ62" s="8">
        <v>55</v>
      </c>
      <c r="AT62" s="8">
        <v>3</v>
      </c>
      <c r="AU62" s="6">
        <f>678.75/2</f>
        <v>339.375</v>
      </c>
      <c r="AV62" s="8">
        <f>353.1/2</f>
        <v>176.55</v>
      </c>
      <c r="AW62" s="6">
        <f>325.65/2</f>
        <v>162.82499999999999</v>
      </c>
      <c r="AX62" s="6">
        <f>753.25/2</f>
        <v>376.625</v>
      </c>
      <c r="AY62" s="6">
        <f t="shared" si="1137"/>
        <v>0.52309027777777772</v>
      </c>
      <c r="AZ62" s="8">
        <v>0</v>
      </c>
      <c r="BA62" s="6">
        <f t="shared" si="1137"/>
        <v>0</v>
      </c>
      <c r="BB62" s="8">
        <f>8/2</f>
        <v>4</v>
      </c>
      <c r="BC62" s="6">
        <f t="shared" ref="BC62" si="1219">(BB62/$AT$4)</f>
        <v>5.5555555555555558E-3</v>
      </c>
      <c r="BD62" s="8">
        <v>0</v>
      </c>
      <c r="BE62" s="69">
        <f>(AU62/$AT$4)</f>
        <v>0.47135416666666669</v>
      </c>
      <c r="BF62" s="69">
        <f>((AU62-BD62)/$AT$4)</f>
        <v>0.47135416666666669</v>
      </c>
      <c r="BG62" s="69">
        <f>IF((AND(AV62=0,AX62=0)),0,(AX62+BD62)/(AV62+AX62+BD62))</f>
        <v>0.68084240972567456</v>
      </c>
      <c r="BH62" s="149">
        <f>BD62/$AT$4</f>
        <v>0</v>
      </c>
      <c r="BI62" s="69">
        <f>(BL62/($AT$4*BM62))</f>
        <v>0.20068181818181818</v>
      </c>
      <c r="BJ62" s="6"/>
      <c r="BK62" s="6">
        <f t="shared" si="1144"/>
        <v>720</v>
      </c>
      <c r="BL62" s="38">
        <v>7947</v>
      </c>
      <c r="BM62" s="8">
        <v>55</v>
      </c>
      <c r="BP62" s="8">
        <v>3</v>
      </c>
      <c r="BQ62" s="8">
        <f>614/2</f>
        <v>307</v>
      </c>
      <c r="BR62" s="8">
        <f>253.2/2</f>
        <v>126.6</v>
      </c>
      <c r="BS62" s="8">
        <f>360.8/2</f>
        <v>180.4</v>
      </c>
      <c r="BT62" s="8">
        <v>372</v>
      </c>
      <c r="BU62" s="6">
        <f t="shared" si="1145"/>
        <v>0.5</v>
      </c>
      <c r="BV62" s="8">
        <v>65</v>
      </c>
      <c r="BW62" s="6">
        <f t="shared" si="1145"/>
        <v>8.7365591397849468E-2</v>
      </c>
      <c r="BX62" s="6">
        <v>0</v>
      </c>
      <c r="BY62" s="6">
        <f t="shared" ref="BY62" si="1220">(BX62/$BP$4)</f>
        <v>0</v>
      </c>
      <c r="BZ62" s="8">
        <v>0</v>
      </c>
      <c r="CA62" s="69">
        <f t="shared" si="1147"/>
        <v>0.41263440860215056</v>
      </c>
      <c r="CB62" s="69">
        <f t="shared" si="1148"/>
        <v>0.41263440860215056</v>
      </c>
      <c r="CC62" s="149">
        <f t="shared" si="1149"/>
        <v>0.74608904933814679</v>
      </c>
      <c r="CD62" s="149">
        <f t="shared" si="1150"/>
        <v>0</v>
      </c>
      <c r="CE62" s="69">
        <f t="shared" si="1151"/>
        <v>0.13951612903225807</v>
      </c>
      <c r="CF62" s="6"/>
      <c r="CG62" s="42">
        <f t="shared" si="1152"/>
        <v>744</v>
      </c>
      <c r="CH62" s="38">
        <v>5709</v>
      </c>
      <c r="CI62" s="8">
        <v>55</v>
      </c>
      <c r="CL62" s="8">
        <v>3</v>
      </c>
      <c r="CM62" s="8">
        <f>590/2</f>
        <v>295</v>
      </c>
      <c r="CN62" s="8">
        <f>208.4/2</f>
        <v>104.2</v>
      </c>
      <c r="CO62" s="8">
        <f>381.6/2</f>
        <v>190.8</v>
      </c>
      <c r="CP62" s="8">
        <f>720/2</f>
        <v>360</v>
      </c>
      <c r="CQ62" s="6">
        <f t="shared" si="1153"/>
        <v>0.5</v>
      </c>
      <c r="CR62" s="8">
        <f>130/2</f>
        <v>65</v>
      </c>
      <c r="CS62" s="6">
        <f t="shared" si="1154"/>
        <v>9.0277777777777776E-2</v>
      </c>
      <c r="CT62" s="6">
        <v>0</v>
      </c>
      <c r="CU62" s="6">
        <f t="shared" si="1155"/>
        <v>0</v>
      </c>
      <c r="CV62" s="8">
        <v>0</v>
      </c>
      <c r="CW62" s="69">
        <f>(CM62/$CL$4)</f>
        <v>0.40972222222222221</v>
      </c>
      <c r="CX62" s="69">
        <f>((CM62-CV62)/$CL$4)</f>
        <v>0.40972222222222221</v>
      </c>
      <c r="CY62" s="149">
        <f>IF((AND(CN62=0,CP62=0)),0,(CP62+CV62)/(CN62+CP62+CV62))</f>
        <v>0.77552778974579928</v>
      </c>
      <c r="CZ62" s="149">
        <f>CV62/$CL$4</f>
        <v>0</v>
      </c>
      <c r="DA62" s="69">
        <f>(DD62/($CL$4*DE62))</f>
        <v>0.1133358585858586</v>
      </c>
      <c r="DB62" s="6"/>
      <c r="DC62" s="6">
        <f t="shared" si="1161"/>
        <v>720</v>
      </c>
      <c r="DD62" s="46">
        <v>4488.1000000000004</v>
      </c>
      <c r="DE62" s="8">
        <v>55</v>
      </c>
      <c r="DH62" s="8">
        <v>3</v>
      </c>
      <c r="DI62" s="8">
        <f>715.3/2</f>
        <v>357.65</v>
      </c>
      <c r="DJ62" s="8">
        <f>255.4/2</f>
        <v>127.7</v>
      </c>
      <c r="DK62" s="8">
        <f>459.9/2</f>
        <v>229.95</v>
      </c>
      <c r="DL62" s="8">
        <f>772.7/2</f>
        <v>386.35</v>
      </c>
      <c r="DM62" s="69">
        <f>(DL62/$DH$4)</f>
        <v>0.51928763440860215</v>
      </c>
      <c r="DN62" s="8">
        <v>0</v>
      </c>
      <c r="DO62" s="69">
        <f>(DN62/$DH$4)</f>
        <v>0</v>
      </c>
      <c r="DP62" s="6">
        <v>0</v>
      </c>
      <c r="DQ62" s="69">
        <f>(DP62/$DH$4)</f>
        <v>0</v>
      </c>
      <c r="DR62" s="8">
        <v>0</v>
      </c>
      <c r="DS62" s="69">
        <f>(DI62/$X$4)</f>
        <v>0.48071236559139779</v>
      </c>
      <c r="DT62" s="69">
        <f>((DI62-DR62)/$DH$4)</f>
        <v>0.48071236559139779</v>
      </c>
      <c r="DU62" s="149">
        <f>IF((AND(DJ62=0,DL62=0)),0,(DL62+DR62)/(DJ62+DL62+DR62))</f>
        <v>0.75158058554615303</v>
      </c>
      <c r="DV62" s="149">
        <f>DR62/$DH$4</f>
        <v>0</v>
      </c>
      <c r="DW62" s="69">
        <f>(DZ62/($DH$4*EA62))</f>
        <v>0.13587487781036167</v>
      </c>
      <c r="DX62" s="69"/>
      <c r="DY62" s="15">
        <f t="shared" si="1167"/>
        <v>744</v>
      </c>
      <c r="DZ62" s="38">
        <v>5560</v>
      </c>
      <c r="EA62" s="8">
        <v>55</v>
      </c>
      <c r="ED62" s="8">
        <v>3</v>
      </c>
      <c r="EE62" s="8">
        <f>744/2</f>
        <v>372</v>
      </c>
      <c r="EF62" s="6">
        <f>303.8/2</f>
        <v>151.9</v>
      </c>
      <c r="EG62" s="6">
        <f>440.2/2</f>
        <v>220.1</v>
      </c>
      <c r="EH62" s="8">
        <f>744/2</f>
        <v>372</v>
      </c>
      <c r="EI62" s="6">
        <f t="shared" si="1168"/>
        <v>0.5</v>
      </c>
      <c r="EJ62" s="8">
        <v>0</v>
      </c>
      <c r="EK62" s="6">
        <f t="shared" si="1169"/>
        <v>0</v>
      </c>
      <c r="EL62" s="6">
        <v>0</v>
      </c>
      <c r="EM62" s="6">
        <f t="shared" si="1170"/>
        <v>0</v>
      </c>
      <c r="EN62" s="8">
        <v>0</v>
      </c>
      <c r="EO62" s="69">
        <f t="shared" si="1171"/>
        <v>0.5</v>
      </c>
      <c r="EP62" s="69">
        <f t="shared" si="1172"/>
        <v>0.5</v>
      </c>
      <c r="EQ62" s="149">
        <f t="shared" si="1173"/>
        <v>0.71005917159763321</v>
      </c>
      <c r="ER62" s="149"/>
      <c r="ES62" s="69">
        <f t="shared" si="1174"/>
        <v>15.977517106549366</v>
      </c>
      <c r="ET62" s="6"/>
      <c r="EU62" s="6">
        <f t="shared" si="1175"/>
        <v>744</v>
      </c>
      <c r="EV62" s="38">
        <v>6538</v>
      </c>
      <c r="EW62" s="8">
        <v>55</v>
      </c>
      <c r="EZ62" s="8">
        <v>3</v>
      </c>
      <c r="FA62" s="8">
        <f>624/2</f>
        <v>312</v>
      </c>
      <c r="FB62" s="8">
        <f>151.7/2</f>
        <v>75.849999999999994</v>
      </c>
      <c r="FC62" s="8">
        <f>472.3/2</f>
        <v>236.15</v>
      </c>
      <c r="FD62" s="8">
        <f>720/2</f>
        <v>360</v>
      </c>
      <c r="FE62" s="6">
        <f t="shared" si="1176"/>
        <v>0.5357142857142857</v>
      </c>
      <c r="FF62" s="8">
        <v>0</v>
      </c>
      <c r="FG62" s="6">
        <f t="shared" si="1177"/>
        <v>0</v>
      </c>
      <c r="FH62" s="6">
        <v>0</v>
      </c>
      <c r="FI62" s="6">
        <f t="shared" si="1178"/>
        <v>0</v>
      </c>
      <c r="FJ62" s="8">
        <v>0</v>
      </c>
      <c r="FK62" s="69">
        <f t="shared" si="1179"/>
        <v>0.41935483870967744</v>
      </c>
      <c r="FL62" s="69">
        <f t="shared" si="1180"/>
        <v>0.4642857142857143</v>
      </c>
      <c r="FM62" s="149">
        <f t="shared" si="1181"/>
        <v>0.82597223815532861</v>
      </c>
      <c r="FN62" s="149">
        <f t="shared" si="1182"/>
        <v>0</v>
      </c>
      <c r="FO62" s="69">
        <f t="shared" si="1183"/>
        <v>9.0205627705627706E-2</v>
      </c>
      <c r="FP62" s="6"/>
      <c r="FQ62" s="6">
        <f t="shared" si="1184"/>
        <v>672</v>
      </c>
      <c r="FR62" s="38">
        <v>3334</v>
      </c>
      <c r="FS62" s="8">
        <v>55</v>
      </c>
      <c r="FV62" s="8">
        <v>3</v>
      </c>
      <c r="FW62" s="8">
        <f>751.9/2</f>
        <v>375.95</v>
      </c>
      <c r="FX62" s="8">
        <f>204.5/2</f>
        <v>102.25</v>
      </c>
      <c r="FY62" s="8">
        <f>547.4/2</f>
        <v>273.7</v>
      </c>
      <c r="FZ62" s="8">
        <f>736.1/2</f>
        <v>368.05</v>
      </c>
      <c r="GA62" s="69">
        <f t="shared" si="1185"/>
        <v>0.49469086021505376</v>
      </c>
      <c r="GB62" s="8">
        <v>0</v>
      </c>
      <c r="GC62" s="69">
        <f t="shared" si="1186"/>
        <v>0</v>
      </c>
      <c r="GD62" s="6">
        <v>0</v>
      </c>
      <c r="GE62" s="6">
        <f t="shared" si="1187"/>
        <v>0</v>
      </c>
      <c r="GF62" s="8">
        <v>0</v>
      </c>
      <c r="GG62" s="69">
        <f t="shared" si="1188"/>
        <v>0.50530913978494618</v>
      </c>
      <c r="GH62" s="69">
        <f t="shared" si="1189"/>
        <v>0.50530913978494618</v>
      </c>
      <c r="GI62" s="149">
        <f t="shared" si="1190"/>
        <v>0.78258558366999786</v>
      </c>
      <c r="GJ62" s="149">
        <f t="shared" si="1191"/>
        <v>0</v>
      </c>
      <c r="GK62" s="69">
        <f t="shared" si="1192"/>
        <v>0.10689149560117302</v>
      </c>
      <c r="GL62" s="69"/>
      <c r="GM62" s="6">
        <f t="shared" si="1193"/>
        <v>744</v>
      </c>
      <c r="GN62" s="38">
        <v>4374</v>
      </c>
      <c r="GO62" s="8">
        <v>55</v>
      </c>
      <c r="GR62" s="8">
        <v>3</v>
      </c>
      <c r="GS62" s="8">
        <f>720/2</f>
        <v>360</v>
      </c>
      <c r="GT62" s="8">
        <f>235/2</f>
        <v>117.5</v>
      </c>
      <c r="GU62" s="8">
        <f>(485+0)/2</f>
        <v>242.5</v>
      </c>
      <c r="GV62" s="8">
        <f>720/2</f>
        <v>360</v>
      </c>
      <c r="GW62" s="6">
        <f t="shared" si="1194"/>
        <v>0.5</v>
      </c>
      <c r="GX62" s="8">
        <v>0</v>
      </c>
      <c r="GY62" s="8">
        <f t="shared" si="1195"/>
        <v>0</v>
      </c>
      <c r="GZ62" s="8">
        <v>0</v>
      </c>
      <c r="HA62" s="6">
        <f t="shared" si="1196"/>
        <v>0</v>
      </c>
      <c r="HB62" s="8">
        <v>0</v>
      </c>
      <c r="HC62" s="69">
        <f t="shared" si="1197"/>
        <v>0.4838709677419355</v>
      </c>
      <c r="HD62" s="69">
        <f t="shared" si="1198"/>
        <v>0.5</v>
      </c>
      <c r="HE62" s="149">
        <f t="shared" si="1199"/>
        <v>0.75392670157068065</v>
      </c>
      <c r="HF62" s="149">
        <f>HB62/$GR$4</f>
        <v>0</v>
      </c>
      <c r="HG62" s="69">
        <f t="shared" si="1200"/>
        <v>0.12795454545454546</v>
      </c>
      <c r="HH62" s="15">
        <v>0</v>
      </c>
      <c r="HI62" s="6">
        <f t="shared" si="1201"/>
        <v>720</v>
      </c>
      <c r="HJ62" s="38">
        <v>5067</v>
      </c>
      <c r="HK62" s="8">
        <v>55</v>
      </c>
      <c r="HN62" s="8">
        <v>3</v>
      </c>
      <c r="HO62" s="8">
        <f>744/2</f>
        <v>372</v>
      </c>
      <c r="HP62" s="8">
        <f>61.3/2</f>
        <v>30.65</v>
      </c>
      <c r="HQ62" s="8">
        <f>682.7/2</f>
        <v>341.35</v>
      </c>
      <c r="HR62" s="8">
        <f>744/2</f>
        <v>372</v>
      </c>
      <c r="HS62" s="6">
        <f t="shared" si="1202"/>
        <v>0.5</v>
      </c>
      <c r="HT62" s="8">
        <v>0</v>
      </c>
      <c r="HU62" s="6">
        <f t="shared" si="1203"/>
        <v>0</v>
      </c>
      <c r="HV62" s="8">
        <v>0</v>
      </c>
      <c r="HW62" s="6">
        <f t="shared" si="1204"/>
        <v>0</v>
      </c>
      <c r="HX62" s="8">
        <v>0</v>
      </c>
      <c r="HY62" s="69">
        <f t="shared" si="1205"/>
        <v>0.5</v>
      </c>
      <c r="HZ62" s="69">
        <f t="shared" si="1206"/>
        <v>0.5</v>
      </c>
      <c r="IA62" s="69">
        <f t="shared" si="1207"/>
        <v>0.9238792996398858</v>
      </c>
      <c r="IB62" s="149">
        <f t="shared" si="1208"/>
        <v>0</v>
      </c>
      <c r="IC62" s="69">
        <f t="shared" si="1209"/>
        <v>3.2209188660801566E-2</v>
      </c>
      <c r="ID62" s="15">
        <v>0</v>
      </c>
      <c r="IE62" s="6">
        <f t="shared" si="1210"/>
        <v>744</v>
      </c>
      <c r="IF62" s="38">
        <v>1318</v>
      </c>
      <c r="IG62" s="8">
        <v>55</v>
      </c>
      <c r="IJ62" s="8">
        <v>3</v>
      </c>
      <c r="IK62" s="8">
        <f>720/2</f>
        <v>360</v>
      </c>
      <c r="IL62" s="8">
        <f>85.8/2</f>
        <v>42.9</v>
      </c>
      <c r="IM62" s="8">
        <f>634.2/2</f>
        <v>317.10000000000002</v>
      </c>
      <c r="IN62" s="8">
        <f>720/2</f>
        <v>360</v>
      </c>
      <c r="IO62" s="69">
        <f t="shared" si="1211"/>
        <v>0.5</v>
      </c>
      <c r="IP62" s="8">
        <v>0</v>
      </c>
      <c r="IQ62" s="69">
        <f t="shared" ref="IQ62:IS63" si="1221">(IP62/$IJ$4)</f>
        <v>0</v>
      </c>
      <c r="IR62" s="8">
        <v>0</v>
      </c>
      <c r="IS62" s="69">
        <f t="shared" si="1221"/>
        <v>0</v>
      </c>
      <c r="IT62" s="8">
        <v>0</v>
      </c>
      <c r="IU62" s="69">
        <f t="shared" si="1212"/>
        <v>0.5</v>
      </c>
      <c r="IV62" s="164">
        <f t="shared" si="1213"/>
        <v>0.5</v>
      </c>
      <c r="IW62" s="164">
        <f t="shared" si="1214"/>
        <v>0.89352196574832465</v>
      </c>
      <c r="IX62" s="149">
        <f t="shared" si="1215"/>
        <v>0</v>
      </c>
      <c r="IY62" s="69">
        <f t="shared" si="1216"/>
        <v>4.6098484848484847E-2</v>
      </c>
      <c r="IZ62" s="15">
        <v>0</v>
      </c>
      <c r="JA62" s="15">
        <f t="shared" si="1217"/>
        <v>720</v>
      </c>
      <c r="JB62" s="46">
        <v>1825.5</v>
      </c>
      <c r="JC62" s="8">
        <v>55</v>
      </c>
    </row>
    <row r="63" spans="1:263" ht="14.25" x14ac:dyDescent="0.25">
      <c r="B63" s="8">
        <v>4</v>
      </c>
      <c r="C63" s="8">
        <f>922/2</f>
        <v>461</v>
      </c>
      <c r="D63" s="8">
        <f>285.2/2</f>
        <v>142.6</v>
      </c>
      <c r="E63" s="8">
        <f>636.8/2</f>
        <v>318.39999999999998</v>
      </c>
      <c r="F63" s="8">
        <f>534/2</f>
        <v>267</v>
      </c>
      <c r="G63" s="6">
        <f t="shared" si="1126"/>
        <v>0.3588709677419355</v>
      </c>
      <c r="H63" s="8">
        <v>0</v>
      </c>
      <c r="I63" s="6">
        <f>(H63/$B$4)</f>
        <v>0</v>
      </c>
      <c r="J63" s="6">
        <f>32/2</f>
        <v>16</v>
      </c>
      <c r="K63" s="6">
        <f t="shared" si="1127"/>
        <v>2.1505376344086023E-2</v>
      </c>
      <c r="L63" s="8">
        <v>0</v>
      </c>
      <c r="M63" s="69">
        <f>(C63/$B$4)</f>
        <v>0.6196236559139785</v>
      </c>
      <c r="N63" s="69">
        <f>((C63-L63)/$B$4)</f>
        <v>0.6196236559139785</v>
      </c>
      <c r="O63" s="69">
        <f>IF((AND(D63=0,F63=0)),0,(F63+L63)/(D63+F63+L63))</f>
        <v>0.65185546875</v>
      </c>
      <c r="P63" s="149">
        <f>L63/$B$4</f>
        <v>0</v>
      </c>
      <c r="Q63" s="69">
        <f>(T63/($B$4*U63))</f>
        <v>0.13539345063538613</v>
      </c>
      <c r="R63" s="15">
        <v>0</v>
      </c>
      <c r="S63" s="6">
        <f t="shared" si="1128"/>
        <v>744</v>
      </c>
      <c r="T63" s="38">
        <v>5540.3</v>
      </c>
      <c r="U63" s="8">
        <v>55</v>
      </c>
      <c r="X63" s="8">
        <v>4</v>
      </c>
      <c r="Y63" s="8">
        <f>714.5/2</f>
        <v>357.25</v>
      </c>
      <c r="Z63" s="8">
        <f>351.6/2</f>
        <v>175.8</v>
      </c>
      <c r="AA63" s="8">
        <f>362.9/2</f>
        <v>181.45</v>
      </c>
      <c r="AB63" s="8">
        <f>766/2</f>
        <v>383</v>
      </c>
      <c r="AC63" s="6">
        <f t="shared" si="1129"/>
        <v>0.51478494623655913</v>
      </c>
      <c r="AD63" s="8">
        <v>0</v>
      </c>
      <c r="AE63" s="6">
        <f t="shared" si="1129"/>
        <v>0</v>
      </c>
      <c r="AF63" s="6">
        <f>7.5/2</f>
        <v>3.75</v>
      </c>
      <c r="AG63" s="6">
        <f t="shared" ref="AG63" si="1222">(AF63/$X$4)</f>
        <v>5.0403225806451612E-3</v>
      </c>
      <c r="AH63" s="8">
        <v>0</v>
      </c>
      <c r="AI63" s="69">
        <f t="shared" si="1131"/>
        <v>0.48017473118279569</v>
      </c>
      <c r="AJ63" s="69">
        <f t="shared" si="1132"/>
        <v>0.48017473118279569</v>
      </c>
      <c r="AK63" s="149">
        <f t="shared" si="1133"/>
        <v>0.68539727988546895</v>
      </c>
      <c r="AL63" s="149">
        <f t="shared" si="1134"/>
        <v>0</v>
      </c>
      <c r="AM63" s="69">
        <f t="shared" si="1135"/>
        <v>0.19604349951124145</v>
      </c>
      <c r="AN63" s="15">
        <v>1</v>
      </c>
      <c r="AO63" s="6">
        <f t="shared" si="1136"/>
        <v>744</v>
      </c>
      <c r="AP63" s="43">
        <v>8022.1</v>
      </c>
      <c r="AQ63" s="8">
        <v>55</v>
      </c>
      <c r="AT63" s="8">
        <v>4</v>
      </c>
      <c r="AU63" s="8">
        <f>677/2</f>
        <v>338.5</v>
      </c>
      <c r="AV63" s="8">
        <f>350.2/2</f>
        <v>175.1</v>
      </c>
      <c r="AW63" s="8">
        <f>326.8/2</f>
        <v>163.4</v>
      </c>
      <c r="AX63" s="8">
        <f>763/2</f>
        <v>381.5</v>
      </c>
      <c r="AY63" s="6">
        <f>(AX63/$AT$4)</f>
        <v>0.52986111111111112</v>
      </c>
      <c r="AZ63" s="8">
        <v>0</v>
      </c>
      <c r="BA63" s="6">
        <f>(AZ63/$AT$4)</f>
        <v>0</v>
      </c>
      <c r="BB63" s="8">
        <v>0</v>
      </c>
      <c r="BC63" s="6">
        <f>(BB63/$AT$4)</f>
        <v>0</v>
      </c>
      <c r="BD63" s="8">
        <v>0</v>
      </c>
      <c r="BE63" s="69">
        <f t="shared" ref="BE63" si="1223">(AU63/$AT$4)</f>
        <v>0.47013888888888888</v>
      </c>
      <c r="BF63" s="69">
        <f t="shared" ref="BF63" si="1224">((AU63-BD63)/$AT$4)</f>
        <v>0.47013888888888888</v>
      </c>
      <c r="BG63" s="69">
        <f t="shared" ref="BG63" si="1225">IF((AND(AV63=0,AX63=0)),0,(AX63+BD63)/(AV63+AX63+BD63))</f>
        <v>0.68541142651814591</v>
      </c>
      <c r="BH63" s="149">
        <f t="shared" ref="BH63" si="1226">BD63/$AT$4</f>
        <v>0</v>
      </c>
      <c r="BI63" s="69">
        <f t="shared" ref="BI63" si="1227">(BL63/($AT$4*BM63))</f>
        <v>0.20303030303030303</v>
      </c>
      <c r="BJ63" s="6"/>
      <c r="BK63" s="6">
        <f t="shared" si="1144"/>
        <v>720</v>
      </c>
      <c r="BL63" s="38">
        <v>8040</v>
      </c>
      <c r="BM63" s="8">
        <v>55</v>
      </c>
      <c r="BP63" s="8">
        <v>4</v>
      </c>
      <c r="BQ63" s="8">
        <f>744/2</f>
        <v>372</v>
      </c>
      <c r="BR63" s="8">
        <f>339.4/2</f>
        <v>169.7</v>
      </c>
      <c r="BS63" s="8">
        <f>404.6/2</f>
        <v>202.3</v>
      </c>
      <c r="BT63" s="8">
        <v>372</v>
      </c>
      <c r="BU63" s="6">
        <f t="shared" si="1145"/>
        <v>0.5</v>
      </c>
      <c r="BV63" s="8">
        <v>0</v>
      </c>
      <c r="BW63" s="6">
        <f t="shared" si="1145"/>
        <v>0</v>
      </c>
      <c r="BX63" s="6">
        <v>0</v>
      </c>
      <c r="BY63" s="6">
        <f t="shared" ref="BY63" si="1228">(BX63/$BP$4)</f>
        <v>0</v>
      </c>
      <c r="BZ63" s="8">
        <v>0</v>
      </c>
      <c r="CA63" s="69">
        <f t="shared" ref="CA63" si="1229">(BQ63/$BP$4)</f>
        <v>0.5</v>
      </c>
      <c r="CB63" s="69">
        <f t="shared" ref="CB63" si="1230">((BQ63-BZ63)/$BP$4)</f>
        <v>0.5</v>
      </c>
      <c r="CC63" s="149">
        <f t="shared" ref="CC63" si="1231">IF((AND(BR63=0,BT63=0)),0,(BT63+BZ63)/(BR63+BT63+BZ63))</f>
        <v>0.68672697064796007</v>
      </c>
      <c r="CD63" s="149">
        <f t="shared" ref="CD63" si="1232">BZ63/$BP$4</f>
        <v>0</v>
      </c>
      <c r="CE63" s="69">
        <f t="shared" ref="CE63" si="1233">(CH63/($BP$4*CI63))</f>
        <v>0.18939149560117302</v>
      </c>
      <c r="CF63" s="6"/>
      <c r="CG63" s="42">
        <f t="shared" si="1152"/>
        <v>744</v>
      </c>
      <c r="CH63" s="38">
        <v>7749.9</v>
      </c>
      <c r="CI63" s="8">
        <v>55</v>
      </c>
      <c r="CL63" s="8">
        <v>4</v>
      </c>
      <c r="CM63" s="8">
        <f>720/2</f>
        <v>360</v>
      </c>
      <c r="CN63" s="8">
        <f>193.4/2</f>
        <v>96.7</v>
      </c>
      <c r="CO63" s="8">
        <f>526.6/2</f>
        <v>263.3</v>
      </c>
      <c r="CP63" s="8">
        <f>720/2</f>
        <v>360</v>
      </c>
      <c r="CQ63" s="6">
        <f t="shared" si="1153"/>
        <v>0.5</v>
      </c>
      <c r="CR63" s="8">
        <v>0</v>
      </c>
      <c r="CS63" s="8">
        <f t="shared" si="1154"/>
        <v>0</v>
      </c>
      <c r="CT63" s="6">
        <v>0</v>
      </c>
      <c r="CU63" s="6">
        <f t="shared" si="1155"/>
        <v>0</v>
      </c>
      <c r="CV63" s="8">
        <v>0</v>
      </c>
      <c r="CW63" s="69">
        <f t="shared" ref="CW63" si="1234">(CM63/$CL$4)</f>
        <v>0.5</v>
      </c>
      <c r="CX63" s="69">
        <f t="shared" ref="CX63" si="1235">((CM63-CV63)/$CL$4)</f>
        <v>0.5</v>
      </c>
      <c r="CY63" s="149">
        <f t="shared" ref="CY63" si="1236">IF((AND(CN63=0,CP63=0)),0,(CP63+CV63)/(CN63+CP63+CV63))</f>
        <v>0.78826363039194225</v>
      </c>
      <c r="CZ63" s="149">
        <f t="shared" ref="CZ63" si="1237">CV63/$CL$4</f>
        <v>0</v>
      </c>
      <c r="DA63" s="69">
        <f t="shared" ref="DA63" si="1238">(DD63/($CL$4*DE63))</f>
        <v>0.10999747474747473</v>
      </c>
      <c r="DB63" s="6"/>
      <c r="DC63" s="6">
        <f t="shared" si="1161"/>
        <v>720</v>
      </c>
      <c r="DD63" s="46">
        <v>4355.8999999999996</v>
      </c>
      <c r="DE63" s="8">
        <v>55</v>
      </c>
      <c r="DH63" s="8">
        <v>4</v>
      </c>
      <c r="DI63" s="8">
        <f>744/2</f>
        <v>372</v>
      </c>
      <c r="DJ63" s="8">
        <f>299.4/2</f>
        <v>149.69999999999999</v>
      </c>
      <c r="DK63" s="8">
        <f>444.6/2</f>
        <v>222.3</v>
      </c>
      <c r="DL63" s="8">
        <f>744/2</f>
        <v>372</v>
      </c>
      <c r="DM63" s="69">
        <f>(DL63/$DH$4)</f>
        <v>0.5</v>
      </c>
      <c r="DN63" s="8">
        <v>0</v>
      </c>
      <c r="DO63" s="69">
        <f>(DN63/$DH$4)</f>
        <v>0</v>
      </c>
      <c r="DP63" s="6">
        <v>0</v>
      </c>
      <c r="DQ63" s="69">
        <f>(DP63/$DH$4)</f>
        <v>0</v>
      </c>
      <c r="DR63" s="8">
        <v>0</v>
      </c>
      <c r="DS63" s="69">
        <f t="shared" ref="DS63" si="1239">(DI63/$X$4)</f>
        <v>0.5</v>
      </c>
      <c r="DT63" s="69">
        <f t="shared" ref="DT63" si="1240">((DI63-DR63)/$DH$4)</f>
        <v>0.5</v>
      </c>
      <c r="DU63" s="149">
        <f t="shared" ref="DU63" si="1241">IF((AND(DJ63=0,DL63=0)),0,(DL63+DR63)/(DJ63+DL63+DR63))</f>
        <v>0.71305347901092575</v>
      </c>
      <c r="DV63" s="149">
        <f t="shared" ref="DV63" si="1242">DR63/$DH$4</f>
        <v>0</v>
      </c>
      <c r="DW63" s="69">
        <f t="shared" ref="DW63" si="1243">(DZ63/($DH$4*EA63))</f>
        <v>0.16779081133919843</v>
      </c>
      <c r="DX63" s="69"/>
      <c r="DY63" s="15">
        <f t="shared" si="1167"/>
        <v>744</v>
      </c>
      <c r="DZ63" s="38">
        <v>6866</v>
      </c>
      <c r="EA63" s="8">
        <v>55</v>
      </c>
      <c r="ED63" s="8">
        <v>4</v>
      </c>
      <c r="EE63" s="8">
        <f>744/2</f>
        <v>372</v>
      </c>
      <c r="EF63" s="8">
        <f>326.7/2</f>
        <v>163.35</v>
      </c>
      <c r="EG63" s="8">
        <f>417.3/2</f>
        <v>208.65</v>
      </c>
      <c r="EH63" s="8">
        <f>744/2</f>
        <v>372</v>
      </c>
      <c r="EI63" s="6">
        <f t="shared" si="1168"/>
        <v>0.5</v>
      </c>
      <c r="EJ63" s="8">
        <v>0</v>
      </c>
      <c r="EK63" s="6">
        <f t="shared" si="1169"/>
        <v>0</v>
      </c>
      <c r="EL63" s="6">
        <v>0</v>
      </c>
      <c r="EM63" s="6">
        <f t="shared" si="1170"/>
        <v>0</v>
      </c>
      <c r="EN63" s="8">
        <v>0</v>
      </c>
      <c r="EO63" s="69">
        <f t="shared" si="1171"/>
        <v>0.5</v>
      </c>
      <c r="EP63" s="69">
        <f t="shared" si="1172"/>
        <v>0.5</v>
      </c>
      <c r="EQ63" s="149">
        <f t="shared" si="1173"/>
        <v>0.69487251330905009</v>
      </c>
      <c r="ER63" s="149"/>
      <c r="ES63" s="69">
        <f t="shared" si="1174"/>
        <v>18.563049853372434</v>
      </c>
      <c r="ET63" s="6"/>
      <c r="EU63" s="6">
        <f t="shared" si="1175"/>
        <v>744</v>
      </c>
      <c r="EV63" s="38">
        <v>7596</v>
      </c>
      <c r="EW63" s="8">
        <v>55</v>
      </c>
      <c r="EZ63" s="8">
        <v>4</v>
      </c>
      <c r="FA63" s="8">
        <f>672/2</f>
        <v>336</v>
      </c>
      <c r="FB63" s="8">
        <f>184/2</f>
        <v>92</v>
      </c>
      <c r="FC63" s="8">
        <f>488/2</f>
        <v>244</v>
      </c>
      <c r="FD63" s="8">
        <f>672/2</f>
        <v>336</v>
      </c>
      <c r="FE63" s="6">
        <f t="shared" si="1176"/>
        <v>0.5</v>
      </c>
      <c r="FF63" s="8">
        <v>0</v>
      </c>
      <c r="FG63" s="6">
        <f t="shared" si="1177"/>
        <v>0</v>
      </c>
      <c r="FH63" s="6">
        <v>0</v>
      </c>
      <c r="FI63" s="6">
        <f t="shared" si="1178"/>
        <v>0</v>
      </c>
      <c r="FJ63" s="8">
        <v>0</v>
      </c>
      <c r="FK63" s="69">
        <f t="shared" si="1179"/>
        <v>0.45161290322580644</v>
      </c>
      <c r="FL63" s="69">
        <f t="shared" si="1180"/>
        <v>0.5</v>
      </c>
      <c r="FM63" s="149">
        <f t="shared" si="1181"/>
        <v>0.78504672897196259</v>
      </c>
      <c r="FN63" s="149">
        <f t="shared" si="1182"/>
        <v>0</v>
      </c>
      <c r="FO63" s="69">
        <f t="shared" si="1183"/>
        <v>0.11594155844155844</v>
      </c>
      <c r="FP63" s="6"/>
      <c r="FQ63" s="6">
        <f t="shared" si="1184"/>
        <v>672</v>
      </c>
      <c r="FR63" s="38">
        <v>4285.2</v>
      </c>
      <c r="FS63" s="8">
        <v>55</v>
      </c>
      <c r="FV63" s="8">
        <v>4</v>
      </c>
      <c r="FW63" s="8">
        <f>744/2</f>
        <v>372</v>
      </c>
      <c r="FX63" s="8">
        <f>210/2</f>
        <v>105</v>
      </c>
      <c r="FY63" s="8">
        <f>534/2</f>
        <v>267</v>
      </c>
      <c r="FZ63" s="8">
        <f>744/2</f>
        <v>372</v>
      </c>
      <c r="GA63" s="69">
        <f t="shared" si="1185"/>
        <v>0.5</v>
      </c>
      <c r="GB63" s="8">
        <v>0</v>
      </c>
      <c r="GC63" s="69">
        <f t="shared" si="1186"/>
        <v>0</v>
      </c>
      <c r="GD63" s="6">
        <v>0</v>
      </c>
      <c r="GE63" s="6">
        <f t="shared" si="1187"/>
        <v>0</v>
      </c>
      <c r="GF63" s="8">
        <v>0</v>
      </c>
      <c r="GG63" s="69">
        <f t="shared" si="1188"/>
        <v>0.5</v>
      </c>
      <c r="GH63" s="69">
        <f t="shared" si="1189"/>
        <v>0.5</v>
      </c>
      <c r="GI63" s="149">
        <f t="shared" si="1190"/>
        <v>0.77987421383647804</v>
      </c>
      <c r="GJ63" s="149">
        <f t="shared" si="1191"/>
        <v>0</v>
      </c>
      <c r="GK63" s="69">
        <f t="shared" si="1192"/>
        <v>0.11756598240469208</v>
      </c>
      <c r="GL63" s="69"/>
      <c r="GM63" s="6">
        <f t="shared" si="1193"/>
        <v>744</v>
      </c>
      <c r="GN63" s="38">
        <v>4810.8</v>
      </c>
      <c r="GO63" s="8">
        <v>55</v>
      </c>
      <c r="GR63" s="8">
        <v>4</v>
      </c>
      <c r="GS63" s="8">
        <f>720/2</f>
        <v>360</v>
      </c>
      <c r="GT63" s="8">
        <f>224.3/2</f>
        <v>112.15</v>
      </c>
      <c r="GU63" s="8">
        <f>(495.7+0)/2</f>
        <v>247.85</v>
      </c>
      <c r="GV63" s="8">
        <f>720/2</f>
        <v>360</v>
      </c>
      <c r="GW63" s="6">
        <f t="shared" si="1194"/>
        <v>0.5</v>
      </c>
      <c r="GX63" s="8">
        <v>0</v>
      </c>
      <c r="GY63" s="8">
        <f t="shared" si="1195"/>
        <v>0</v>
      </c>
      <c r="GZ63" s="8">
        <v>0</v>
      </c>
      <c r="HA63" s="6">
        <f t="shared" si="1196"/>
        <v>0</v>
      </c>
      <c r="HB63" s="8">
        <v>0</v>
      </c>
      <c r="HC63" s="69">
        <f t="shared" si="1197"/>
        <v>0.4838709677419355</v>
      </c>
      <c r="HD63" s="69">
        <f t="shared" si="1198"/>
        <v>0.5</v>
      </c>
      <c r="HE63" s="149">
        <f t="shared" si="1199"/>
        <v>0.76246955416710793</v>
      </c>
      <c r="HF63" s="149">
        <f>HB63/$GR$4</f>
        <v>0</v>
      </c>
      <c r="HG63" s="69">
        <f t="shared" si="1200"/>
        <v>0.12844949494949495</v>
      </c>
      <c r="HH63" s="15">
        <v>0</v>
      </c>
      <c r="HI63" s="6">
        <f t="shared" si="1201"/>
        <v>720</v>
      </c>
      <c r="HJ63" s="38">
        <v>5086.6000000000004</v>
      </c>
      <c r="HK63" s="8">
        <v>55</v>
      </c>
      <c r="HN63" s="8">
        <v>4</v>
      </c>
      <c r="HO63" s="8">
        <f>744/2</f>
        <v>372</v>
      </c>
      <c r="HP63" s="8">
        <f>54.8/2</f>
        <v>27.4</v>
      </c>
      <c r="HQ63" s="8">
        <f>689.2/2</f>
        <v>344.6</v>
      </c>
      <c r="HR63" s="8">
        <f>744/2</f>
        <v>372</v>
      </c>
      <c r="HS63" s="6">
        <f t="shared" si="1202"/>
        <v>0.5</v>
      </c>
      <c r="HT63" s="8">
        <v>0</v>
      </c>
      <c r="HU63" s="6">
        <f t="shared" si="1203"/>
        <v>0</v>
      </c>
      <c r="HV63" s="8">
        <v>0</v>
      </c>
      <c r="HW63" s="6">
        <f t="shared" si="1204"/>
        <v>0</v>
      </c>
      <c r="HX63" s="8">
        <v>0</v>
      </c>
      <c r="HY63" s="69">
        <f t="shared" si="1205"/>
        <v>0.5</v>
      </c>
      <c r="HZ63" s="69">
        <f t="shared" si="1206"/>
        <v>0.5</v>
      </c>
      <c r="IA63" s="69">
        <f t="shared" si="1207"/>
        <v>0.93139709564346529</v>
      </c>
      <c r="IB63" s="149">
        <f t="shared" si="1208"/>
        <v>0</v>
      </c>
      <c r="IC63" s="69">
        <f t="shared" si="1209"/>
        <v>2.9838709677419355E-2</v>
      </c>
      <c r="ID63" s="15">
        <v>0</v>
      </c>
      <c r="IE63" s="6">
        <f t="shared" si="1210"/>
        <v>744</v>
      </c>
      <c r="IF63" s="38">
        <v>1221</v>
      </c>
      <c r="IG63" s="8">
        <v>55</v>
      </c>
      <c r="IJ63" s="8">
        <v>4</v>
      </c>
      <c r="IK63" s="8">
        <f>720/2</f>
        <v>360</v>
      </c>
      <c r="IL63" s="8">
        <f>82.2/2</f>
        <v>41.1</v>
      </c>
      <c r="IM63" s="8">
        <f>637.8/2</f>
        <v>318.89999999999998</v>
      </c>
      <c r="IN63" s="8">
        <f>720/2</f>
        <v>360</v>
      </c>
      <c r="IO63" s="69">
        <f t="shared" si="1211"/>
        <v>0.5</v>
      </c>
      <c r="IP63" s="8">
        <v>0</v>
      </c>
      <c r="IQ63" s="69">
        <f t="shared" si="1221"/>
        <v>0</v>
      </c>
      <c r="IR63" s="8">
        <v>0</v>
      </c>
      <c r="IS63" s="69">
        <f t="shared" si="1221"/>
        <v>0</v>
      </c>
      <c r="IT63" s="8">
        <v>0</v>
      </c>
      <c r="IU63" s="69">
        <f t="shared" si="1212"/>
        <v>0.5</v>
      </c>
      <c r="IV63" s="164">
        <f t="shared" si="1213"/>
        <v>0.5</v>
      </c>
      <c r="IW63" s="164">
        <f t="shared" si="1214"/>
        <v>0.89753178758414354</v>
      </c>
      <c r="IX63" s="149">
        <f t="shared" si="1215"/>
        <v>0</v>
      </c>
      <c r="IY63" s="69">
        <f t="shared" si="1216"/>
        <v>4.7042929292929296E-2</v>
      </c>
      <c r="IZ63" s="15">
        <v>0</v>
      </c>
      <c r="JA63" s="15">
        <f t="shared" si="1217"/>
        <v>720</v>
      </c>
      <c r="JB63" s="46">
        <v>1862.9</v>
      </c>
      <c r="JC63" s="8">
        <v>55</v>
      </c>
    </row>
    <row r="64" spans="1:263" ht="15" x14ac:dyDescent="0.25">
      <c r="B64" s="24" t="s">
        <v>39</v>
      </c>
      <c r="C64" s="98">
        <f>SUM(C60:C63)</f>
        <v>2247.5</v>
      </c>
      <c r="D64" s="25">
        <f t="shared" ref="D64:L64" si="1244">SUM(D60:D63)</f>
        <v>816.55000000000007</v>
      </c>
      <c r="E64" s="98">
        <f>SUM(E60:E63)</f>
        <v>1430.9499999999998</v>
      </c>
      <c r="F64" s="25">
        <f t="shared" si="1244"/>
        <v>691.5</v>
      </c>
      <c r="G64" s="78">
        <f>(G60*U60+G61*U61+G62*U62+G63*U63)/U64</f>
        <v>0.23235887096774194</v>
      </c>
      <c r="H64" s="25">
        <f t="shared" si="1244"/>
        <v>0</v>
      </c>
      <c r="I64" s="78">
        <f>(I60*U60+I61*U61+I62*U62+I63*U63)/U64</f>
        <v>0</v>
      </c>
      <c r="J64" s="26">
        <f>SUM(J60:J63)</f>
        <v>37</v>
      </c>
      <c r="K64" s="78">
        <f>(K60*U60+K61*U61+K62*U62+K63*U63)/U64</f>
        <v>1.2432795698924732E-2</v>
      </c>
      <c r="L64" s="25">
        <f t="shared" si="1244"/>
        <v>0</v>
      </c>
      <c r="M64" s="78">
        <f>(M60*U60+M61*U61+M62*U62+M63*U63)/U64</f>
        <v>0.75520833333333326</v>
      </c>
      <c r="N64" s="81">
        <f>(N60*U60+N61*U61+N62*U62+N63*U63)/U64</f>
        <v>0.75520833333333326</v>
      </c>
      <c r="O64" s="81">
        <f>(O60*U60+O61*U61+O62*U62+O63*U63)/U64</f>
        <v>0.36632690254248712</v>
      </c>
      <c r="P64" s="81">
        <f>(P60*U60+P61*U61+P62*U62+P63*U63)/U64</f>
        <v>0</v>
      </c>
      <c r="Q64" s="81">
        <f>(Q60*U60+Q61*U61+Q62*U62+Q63*U63)/U64</f>
        <v>0.21463709677419351</v>
      </c>
      <c r="R64" s="25">
        <f t="shared" ref="R64" si="1245">SUM(R60:R63)</f>
        <v>0</v>
      </c>
      <c r="S64" s="30">
        <f>SUM(S60:S63)</f>
        <v>2976</v>
      </c>
      <c r="T64" s="44">
        <f>SUM(T60:T63)</f>
        <v>35131.799999999996</v>
      </c>
      <c r="U64" s="25">
        <f>SUM(U60:U63)</f>
        <v>220</v>
      </c>
      <c r="X64" s="32" t="s">
        <v>39</v>
      </c>
      <c r="Y64" s="29">
        <f>SUM(Y60:Y63)</f>
        <v>2179.875</v>
      </c>
      <c r="Z64" s="29">
        <f t="shared" ref="Z64:AH64" si="1246">SUM(Z60:Z63)</f>
        <v>1190.5999999999999</v>
      </c>
      <c r="AA64" s="29">
        <f>SUM(AA60:AA63)</f>
        <v>989.27500000000009</v>
      </c>
      <c r="AB64" s="29">
        <f t="shared" si="1246"/>
        <v>789</v>
      </c>
      <c r="AC64" s="79">
        <f>(AC60*AQ60+AC61*AQ61+AC62*AQ62+AC63*AQ63)/AQ64</f>
        <v>0.2651209677419355</v>
      </c>
      <c r="AD64" s="29">
        <f t="shared" si="1246"/>
        <v>0</v>
      </c>
      <c r="AE64" s="79">
        <f>(AE60*AQ60+AE61*AQ61+AE62*AQ62+AE63*AQ63)/AQ64</f>
        <v>0</v>
      </c>
      <c r="AF64" s="30">
        <f>SUM(AF60:AF63)</f>
        <v>7.125</v>
      </c>
      <c r="AG64" s="79">
        <f>(AG60*AQ60+AG61*AQ61+AG62*AQ62+AG63*AQ63)/AQ64</f>
        <v>2.3941532258064517E-3</v>
      </c>
      <c r="AH64" s="29">
        <f t="shared" si="1246"/>
        <v>0</v>
      </c>
      <c r="AI64" s="78">
        <f>(AI60*AQ60+AI61*AQ61+AI62*AQ62+AI63*AQ63)/AQ64</f>
        <v>0.73248487903225801</v>
      </c>
      <c r="AJ64" s="79">
        <f>(AJ60*AQ60+AJ61*AQ61+AJ62*AQ62+AJ63*AQ63)/AQ64</f>
        <v>0.73248487903225801</v>
      </c>
      <c r="AK64" s="79">
        <f>(AK60*AQ60+AK61*AQ61+AK62*AQ62+AK63*AQ63)/AQ64</f>
        <v>0.35549062093897238</v>
      </c>
      <c r="AL64" s="79"/>
      <c r="AM64" s="81">
        <f>(AM60*AQ60+AM61*AQ61+AM62*AQ62+AM63*AQ63)/AQ64</f>
        <v>0.30727761485826005</v>
      </c>
      <c r="AN64" s="29">
        <f t="shared" ref="AN64" si="1247">SUM(AN60:AN63)</f>
        <v>3</v>
      </c>
      <c r="AO64" s="30">
        <f>SUM(AO60:AO63)</f>
        <v>2976</v>
      </c>
      <c r="AP64" s="34">
        <f>SUM(AP60:AP63)</f>
        <v>50295.200000000004</v>
      </c>
      <c r="AQ64" s="29">
        <f>SUM(AQ60:AQ63)</f>
        <v>220</v>
      </c>
      <c r="AT64" s="32" t="s">
        <v>39</v>
      </c>
      <c r="AU64" s="47">
        <f>SUM(AU60:AU63)</f>
        <v>2105.375</v>
      </c>
      <c r="AV64" s="47">
        <f t="shared" ref="AV64:BD64" si="1248">SUM(AV60:AV63)</f>
        <v>1113.8</v>
      </c>
      <c r="AW64" s="30">
        <f>SUM(AW60:AW63)</f>
        <v>991.57499999999993</v>
      </c>
      <c r="AX64" s="30">
        <f t="shared" si="1248"/>
        <v>770.625</v>
      </c>
      <c r="AY64" s="30">
        <f>(AY60*BM60+AY61*BM61+AY62*BM62+AY63*BM63)/BM64</f>
        <v>0.267578125</v>
      </c>
      <c r="AZ64" s="29">
        <f t="shared" si="1248"/>
        <v>0</v>
      </c>
      <c r="BA64" s="30">
        <f>(BA60*BM60+BA61*BM61+BA62*BM62+BA63*BM63)/BM64</f>
        <v>0</v>
      </c>
      <c r="BB64" s="30">
        <f>SUM(BB60:BB63)</f>
        <v>4</v>
      </c>
      <c r="BC64" s="30">
        <f>(BC60*BM60+BC61*BM61+BC62*BM62+BC63*BM63)/BM64</f>
        <v>1.3888888888888889E-3</v>
      </c>
      <c r="BD64" s="29">
        <f t="shared" si="1248"/>
        <v>0</v>
      </c>
      <c r="BE64" s="78">
        <f>(BE60*BM60+BE61*BM61+BE62*BM62+BE63*BM63)/BM64</f>
        <v>0.73103298611111101</v>
      </c>
      <c r="BF64" s="79">
        <f>(BF60*BM60+BF61*BM61+BF62*BM62+BF63*BM63)/BM64</f>
        <v>0.73103298611111101</v>
      </c>
      <c r="BG64" s="79">
        <f>(BG60*BM60+BG61*BM61+BG62*BM62+BG63*BM63)/BM64</f>
        <v>0.35011456044281308</v>
      </c>
      <c r="BH64" s="79"/>
      <c r="BI64" s="81">
        <f>(BI60*BM60+BI61*BM61+BI62*BM62+BI63*BM63)/BM64</f>
        <v>0.30466729797979797</v>
      </c>
      <c r="BJ64" s="149"/>
      <c r="BK64" s="30">
        <f>SUM(BK60:BK63)</f>
        <v>2880</v>
      </c>
      <c r="BL64" s="39">
        <f>SUM(BL60:BL63)</f>
        <v>48259.3</v>
      </c>
      <c r="BM64" s="29">
        <f>SUM(BM60:BM63)</f>
        <v>220</v>
      </c>
      <c r="BP64" s="32" t="s">
        <v>39</v>
      </c>
      <c r="BQ64" s="29">
        <f>SUM(BQ60:BQ63)</f>
        <v>2167</v>
      </c>
      <c r="BR64" s="29">
        <f t="shared" ref="BR64:BZ64" si="1249">SUM(BR60:BR63)</f>
        <v>1095.3999999999999</v>
      </c>
      <c r="BS64" s="29">
        <f>SUM(BS60:BS63)</f>
        <v>1071.6000000000001</v>
      </c>
      <c r="BT64" s="29">
        <f t="shared" si="1249"/>
        <v>744</v>
      </c>
      <c r="BU64" s="79">
        <f>(BU60*CI60+BU61*CI61+BU62*CI62+BU63*CI63)/CI64</f>
        <v>0.25</v>
      </c>
      <c r="BV64" s="29">
        <f t="shared" si="1249"/>
        <v>65</v>
      </c>
      <c r="BW64" s="79">
        <f>(BW60*CI60+BW61*CI61+BW62*CI62+BW63*CI63)/CI64</f>
        <v>2.1841397849462367E-2</v>
      </c>
      <c r="BX64" s="30">
        <f>SUM(BX60:BX63)</f>
        <v>0</v>
      </c>
      <c r="BY64" s="79">
        <f>(BY60*CI60+BY61*CI61+BY62*CI62+BY63*CI63)/CI64</f>
        <v>0</v>
      </c>
      <c r="BZ64" s="29">
        <f t="shared" si="1249"/>
        <v>0</v>
      </c>
      <c r="CA64" s="78">
        <f>(CA60*CI60+CA61*CI61+CA62*CI62+CA63*CI63)/CI64</f>
        <v>0.72815860215053763</v>
      </c>
      <c r="CB64" s="79">
        <f>(CB60*CI60+CB61*CI61+CB62*CI62+CB63*CI63)/CI64</f>
        <v>0.72815860215053763</v>
      </c>
      <c r="CC64" s="79">
        <f>(CC60*CI60+CC61*CI61+CC62*CI62+CC63*CI63)/CI64</f>
        <v>0.35820400499652666</v>
      </c>
      <c r="CD64" s="79"/>
      <c r="CE64" s="81">
        <f>(CE60*CI60+CE61*CI61+CE62*CI62+CE63*CI63)/CI64</f>
        <v>0.29534274193548382</v>
      </c>
      <c r="CF64" s="149"/>
      <c r="CG64" s="33">
        <f>SUM(CG60:CG63)</f>
        <v>2976</v>
      </c>
      <c r="CH64" s="39">
        <f>SUM(CH60:CH63)</f>
        <v>48341.700000000004</v>
      </c>
      <c r="CI64" s="29">
        <f>SUM(CI60:CI63)</f>
        <v>220</v>
      </c>
      <c r="CL64" s="32" t="s">
        <v>39</v>
      </c>
      <c r="CM64" s="29">
        <f>SUM(CM60:CM63)</f>
        <v>2088</v>
      </c>
      <c r="CN64" s="29">
        <f t="shared" ref="CN64:CV64" si="1250">SUM(CN60:CN63)</f>
        <v>747.45</v>
      </c>
      <c r="CO64" s="29">
        <f>SUM(CO60:CO63)</f>
        <v>1340.55</v>
      </c>
      <c r="CP64" s="29">
        <f t="shared" si="1250"/>
        <v>720</v>
      </c>
      <c r="CQ64" s="79">
        <f>(CQ60*DE60+CQ61*DE61+CQ62*DE62+CQ63*DE63)/DE64</f>
        <v>0.25</v>
      </c>
      <c r="CR64" s="29">
        <f t="shared" si="1250"/>
        <v>72</v>
      </c>
      <c r="CS64" s="79">
        <f>(CS60*DE60+CS61*DE61+CS62*DE62+CS63*DE63)/DE64</f>
        <v>2.5000000000000001E-2</v>
      </c>
      <c r="CT64" s="30">
        <f>SUM(CT60:CT63)</f>
        <v>0</v>
      </c>
      <c r="CU64" s="78">
        <f>(CU60*DE60+CU61*DE61+CU62*DE62+CU63*DE63)/DE64</f>
        <v>0</v>
      </c>
      <c r="CV64" s="29">
        <f t="shared" si="1250"/>
        <v>0</v>
      </c>
      <c r="CW64" s="78">
        <f>(CW60*DE60+CW61*DE61+CW62*DE62+CW63*DE63)/DE64</f>
        <v>0.72499999999999998</v>
      </c>
      <c r="CX64" s="79">
        <f>(CX60*DE60+CX61*DE61+CX62*DE62+CX63*DE63)/DE64</f>
        <v>0.72499999999999998</v>
      </c>
      <c r="CY64" s="79">
        <f>(CY60*DE60+CY61*DE61+CY62*DE62+CY63*DE63)/DE64</f>
        <v>0.39094785503443541</v>
      </c>
      <c r="CZ64" s="79"/>
      <c r="DA64" s="81">
        <f>(DA60*DE60+DA61*DE61+DA62*DE62+DA63*DE63)/DE64</f>
        <v>0.20358522727272729</v>
      </c>
      <c r="DB64" s="149"/>
      <c r="DC64" s="30">
        <f>SUM(DC60:DC63)</f>
        <v>2880</v>
      </c>
      <c r="DD64" s="47">
        <f>SUM(DD60:DD63)</f>
        <v>32247.9</v>
      </c>
      <c r="DE64" s="29">
        <f>SUM(DE60:DE63)</f>
        <v>220</v>
      </c>
      <c r="DH64" s="32" t="s">
        <v>39</v>
      </c>
      <c r="DI64" s="47">
        <f>SUM(DI60:DI63)</f>
        <v>2182.5</v>
      </c>
      <c r="DJ64" s="29">
        <f t="shared" ref="DJ64:DR64" si="1251">SUM(DJ60:DJ63)</f>
        <v>949.7</v>
      </c>
      <c r="DK64" s="47">
        <f>SUM(DK60:DK63)</f>
        <v>1232.8</v>
      </c>
      <c r="DL64" s="29">
        <f t="shared" si="1251"/>
        <v>784.1</v>
      </c>
      <c r="DM64" s="79">
        <f>(DM60*EA60+DM61*EA61+DM62*EA62+DM63*EA63)/EA64</f>
        <v>0.26347446236559141</v>
      </c>
      <c r="DN64" s="29">
        <f t="shared" si="1251"/>
        <v>9.4</v>
      </c>
      <c r="DO64" s="79">
        <f>(DO60*EA60+DO61*EA61+DO62*EA62+DO63*EA63)/EA64</f>
        <v>3.1586021505376339E-3</v>
      </c>
      <c r="DP64" s="30">
        <f>SUM(DP60:DP63)</f>
        <v>0</v>
      </c>
      <c r="DQ64" s="79">
        <f>(DQ60*EA60+DQ61*EA61+DQ62*EA62+DQ63*EA63)/EA64</f>
        <v>0</v>
      </c>
      <c r="DR64" s="29">
        <f t="shared" si="1251"/>
        <v>0</v>
      </c>
      <c r="DS64" s="78">
        <f>(DS60*EA60+DS61*EA61+DS62*EA62+DS63*EA63)/EA64</f>
        <v>0.733366935483871</v>
      </c>
      <c r="DT64" s="79">
        <f>(DT60*EA60+DT61*EA61+DT62*EA62+DT63*EA63)/EA64</f>
        <v>0.733366935483871</v>
      </c>
      <c r="DU64" s="79">
        <f>(DU60*EA60+DU61*EA61+DU62*EA62+DU63*EA63)/EA64</f>
        <v>0.38683792506956199</v>
      </c>
      <c r="DV64" s="79">
        <f>(DV60*EA60+DV61*EA61+DV62*EA62+DV63*EA63)/EA64</f>
        <v>0</v>
      </c>
      <c r="DW64" s="81">
        <f>(DW60*EA60+DW61*EA61+DW62*EA62+DW63*EA63)/EA64</f>
        <v>0.25829606549364614</v>
      </c>
      <c r="DX64" s="149"/>
      <c r="DY64" s="31">
        <f>SUM(DY60:DY63)</f>
        <v>2976</v>
      </c>
      <c r="DZ64" s="39">
        <f>SUM(DZ60:DZ63)</f>
        <v>42277.9</v>
      </c>
      <c r="EA64" s="29">
        <f>SUM(EA60:EA63)</f>
        <v>220</v>
      </c>
      <c r="ED64" s="32" t="s">
        <v>39</v>
      </c>
      <c r="EE64" s="29">
        <f>SUM(EE60:EE63)</f>
        <v>2232</v>
      </c>
      <c r="EF64" s="29">
        <f t="shared" ref="EF64:EN64" si="1252">SUM(EF60:EF63)</f>
        <v>951.7</v>
      </c>
      <c r="EG64" s="29">
        <f>SUM(EG60:EG63)</f>
        <v>1280.3</v>
      </c>
      <c r="EH64" s="29">
        <f t="shared" si="1252"/>
        <v>744</v>
      </c>
      <c r="EI64" s="79">
        <f>(EI60*EW60+EI61*EW61+EI62*EW62+EI63*EW63)/EW64</f>
        <v>0.25</v>
      </c>
      <c r="EJ64" s="29">
        <f t="shared" si="1252"/>
        <v>0</v>
      </c>
      <c r="EK64" s="79">
        <f>(EK60*EW60+EK61*EW61+EK62*EW62+EK63*EW63)/EW64</f>
        <v>0</v>
      </c>
      <c r="EL64" s="30">
        <f>SUM(EL60:EL63)</f>
        <v>0</v>
      </c>
      <c r="EM64" s="79">
        <f>(EM60*EW60+EM61*EW61+EM62*EW62+EM63*EW63)/EW64</f>
        <v>0</v>
      </c>
      <c r="EN64" s="29">
        <f t="shared" si="1252"/>
        <v>0</v>
      </c>
      <c r="EO64" s="78">
        <f>(EO60*EW60+EO61*EW61+EO62*EW62+EO63*EW63)/EW64</f>
        <v>0.75</v>
      </c>
      <c r="EP64" s="79">
        <f>(EP60*EW60+EP61*EW61+EP62*EW62+EP63*EW63)/EW64</f>
        <v>0.75</v>
      </c>
      <c r="EQ64" s="79">
        <f>(EQ60*EW60+EQ61*EW61+EQ62*EW62+EQ63*EW63)/EW64</f>
        <v>0.35123292122667082</v>
      </c>
      <c r="ER64" s="79"/>
      <c r="ES64" s="81">
        <f>(ES60*EW60+ES61*EW61+ES62*EW62+ES63*EW63)/EW64</f>
        <v>25.663062072336267</v>
      </c>
      <c r="ET64" s="18"/>
      <c r="EU64" s="30">
        <f>SUM(EU60:EU63)</f>
        <v>2976</v>
      </c>
      <c r="EV64" s="39">
        <f>SUM(EV60:EV63)</f>
        <v>42005.3</v>
      </c>
      <c r="EW64" s="29">
        <f>SUM(EW60:EW63)</f>
        <v>220</v>
      </c>
      <c r="EZ64" s="24" t="s">
        <v>39</v>
      </c>
      <c r="FA64" s="29">
        <f>SUM(FA60:FA63)</f>
        <v>1522.5</v>
      </c>
      <c r="FB64" s="29">
        <f t="shared" ref="FB64:FJ64" si="1253">SUM(FB60:FB63)</f>
        <v>403.65</v>
      </c>
      <c r="FC64" s="29">
        <f>SUM(FC60:FC63)</f>
        <v>1118.8499999999999</v>
      </c>
      <c r="FD64" s="29">
        <f t="shared" si="1253"/>
        <v>1165.5</v>
      </c>
      <c r="FE64" s="79">
        <f>(FE60*FS60+FE61*FS61+FE62*FS62+FE63*FS63)/FS64</f>
        <v>0.43359375</v>
      </c>
      <c r="FF64" s="29">
        <f t="shared" si="1253"/>
        <v>0</v>
      </c>
      <c r="FG64" s="79">
        <f>(FG60*FS60+FG61*FS61+FG62*FS62+FG63*FS63)/FS64</f>
        <v>0</v>
      </c>
      <c r="FH64" s="30">
        <f>SUM(FH60:FH63)</f>
        <v>0</v>
      </c>
      <c r="FI64" s="79">
        <f>(FI60*FS60+FI61*FS61+FI62*FS62+FI63*FS63)/FS64</f>
        <v>0</v>
      </c>
      <c r="FJ64" s="29">
        <f t="shared" si="1253"/>
        <v>0</v>
      </c>
      <c r="FK64" s="78">
        <f>(FK60*FS60+FK61*FS61+FK62*FS62+FK63*FS63)/FS64</f>
        <v>0.51159274193548387</v>
      </c>
      <c r="FL64" s="79">
        <f>(FL60*FS60+FL61*FS61+FL62*FS62+FL63*FS63)/FS64</f>
        <v>0.56640625</v>
      </c>
      <c r="FM64" s="79">
        <f>(FM60*FS60+FM61*FS61+FM62*FS62+FM63*FS63)/FS64</f>
        <v>0.64195384510360809</v>
      </c>
      <c r="FN64" s="79"/>
      <c r="FO64" s="81">
        <f>(FO60*FS60+FO61*FS61+FO62*FS62+FO63*FS63)/FS64</f>
        <v>0.12533008658008657</v>
      </c>
      <c r="FP64" s="149"/>
      <c r="FQ64" s="30">
        <f>SUM(FQ60:FQ63)</f>
        <v>2688</v>
      </c>
      <c r="FR64" s="39">
        <f>SUM(FR60:FR63)</f>
        <v>18528.8</v>
      </c>
      <c r="FS64" s="29">
        <f>SUM(FS60:FS63)</f>
        <v>220</v>
      </c>
      <c r="FV64" s="32" t="s">
        <v>39</v>
      </c>
      <c r="FW64" s="47">
        <f>SUM(FW60:FW63)</f>
        <v>1491.95</v>
      </c>
      <c r="FX64" s="47">
        <f t="shared" ref="FX64:GF64" si="1254">SUM(FX60:FX63)</f>
        <v>470.85</v>
      </c>
      <c r="FY64" s="47">
        <f>SUM(FY60:FY63)</f>
        <v>1021.0999999999999</v>
      </c>
      <c r="FZ64" s="47">
        <f t="shared" si="1254"/>
        <v>1484.05</v>
      </c>
      <c r="GA64" s="79">
        <f>(GA60*GO60+GA61*GO61+GA62*GO62+GA63*GO63)/GO64</f>
        <v>0.49867271505376343</v>
      </c>
      <c r="GB64" s="29">
        <f t="shared" si="1254"/>
        <v>0</v>
      </c>
      <c r="GC64" s="79">
        <f>(GC60*GO60+GC61*GO61+GC62*GO62+GC63*GO63)/GO64</f>
        <v>0</v>
      </c>
      <c r="GD64" s="30">
        <f>SUM(GD60:GD63)</f>
        <v>0</v>
      </c>
      <c r="GE64" s="79">
        <f>(GE60*GO60+GE61*GO61+GE62*GO62+GE63*GO63)/GO64</f>
        <v>0</v>
      </c>
      <c r="GF64" s="29">
        <f t="shared" si="1254"/>
        <v>0</v>
      </c>
      <c r="GG64" s="78">
        <f>(GG60*GO60+GG61*GO61+GG62*GO62+GG63*GO63)/GO64</f>
        <v>0.50132728494623646</v>
      </c>
      <c r="GH64" s="79">
        <f>(GH60*GO60+GH61*GO61+GH62*GO62+GH63*GO63)/GO64</f>
        <v>0.50132728494623646</v>
      </c>
      <c r="GI64" s="79">
        <f>(GI60*GO60+GI61*GO61+GI62*GO62+GI63*GO63)/GO64</f>
        <v>0.640614949376619</v>
      </c>
      <c r="GJ64" s="79">
        <f>(GJ60*GO60+GJ61*GO61+GJ62*GO62+GJ63*GO63)/GO64</f>
        <v>0</v>
      </c>
      <c r="GK64" s="81">
        <f>(GK60*GO60+GK61*GO61+GK62*GO62+GK63*GO63)/GO64</f>
        <v>0.13214565004887582</v>
      </c>
      <c r="GL64" s="149"/>
      <c r="GM64" s="30">
        <f>SUM(GM60:GM63)</f>
        <v>2976</v>
      </c>
      <c r="GN64" s="39">
        <f>SUM(GN60:GN63)</f>
        <v>21629.599999999999</v>
      </c>
      <c r="GO64" s="29">
        <f>SUM(GO60:GO63)</f>
        <v>220</v>
      </c>
      <c r="GR64" s="32" t="s">
        <v>39</v>
      </c>
      <c r="GS64" s="48">
        <f>SUM(GS60:GS63)</f>
        <v>1440</v>
      </c>
      <c r="GT64" s="48">
        <f t="shared" ref="GT64:HB64" si="1255">SUM(GT60:GT63)</f>
        <v>474.6</v>
      </c>
      <c r="GU64" s="48">
        <f>SUM(GU60:GU63)</f>
        <v>965.4</v>
      </c>
      <c r="GV64" s="48">
        <f t="shared" si="1255"/>
        <v>1440</v>
      </c>
      <c r="GW64" s="118">
        <f>(GW60*HK60+GW61*HK61+GW62*HK62+GW63*HK63)/HK64</f>
        <v>0.5</v>
      </c>
      <c r="GX64" s="48">
        <f t="shared" si="1255"/>
        <v>0</v>
      </c>
      <c r="GY64" s="118">
        <f>(GY60*HK60+GY61*HK61+GY62*HK62+GY63*HK63)/HK64</f>
        <v>0</v>
      </c>
      <c r="GZ64" s="120">
        <f>SUM(GZ60:GZ63)</f>
        <v>0</v>
      </c>
      <c r="HA64" s="116">
        <f>(HA60*HK60+HA61*HK61+HA62*HK62+HA63*HK63)/HK64</f>
        <v>0</v>
      </c>
      <c r="HB64" s="48">
        <f t="shared" si="1255"/>
        <v>0</v>
      </c>
      <c r="HC64" s="116">
        <f>(HC60*HK60+HC61*HK61+HC62*HK62+HC63*HK63)/HK64</f>
        <v>0.4838709677419355</v>
      </c>
      <c r="HD64" s="118">
        <f>(HD60*HK60+HD61*HK61+HD62*HK62+HD63*HK63)/HK64</f>
        <v>0.5</v>
      </c>
      <c r="HE64" s="118">
        <f>(HE60*HK60+HE61*HK61+HE62*HK62+HE63*HK63)/HK64</f>
        <v>0.62909906393444714</v>
      </c>
      <c r="HF64" s="118">
        <f>(HF60*HK60+HF61*HK61+HF62*HK62+HF63*HK63)/HK64</f>
        <v>0</v>
      </c>
      <c r="HG64" s="121">
        <f>(HG60*HK60+HG61*HK61+HG62*HK62+HG63*HK63)/HK64</f>
        <v>0.1361912878787879</v>
      </c>
      <c r="HH64" s="48">
        <f t="shared" ref="HH64" si="1256">SUM(HH60:HH63)</f>
        <v>0</v>
      </c>
      <c r="HI64" s="120">
        <f>SUM(HI60:HI63)</f>
        <v>2880</v>
      </c>
      <c r="HJ64" s="126">
        <f>SUM(HJ60:HJ63)</f>
        <v>21572.699999999997</v>
      </c>
      <c r="HK64" s="48">
        <f>SUM(HK60:HK63)</f>
        <v>220</v>
      </c>
      <c r="HN64" s="24" t="s">
        <v>39</v>
      </c>
      <c r="HO64" s="29">
        <f>SUM(HO60:HO63)</f>
        <v>1488</v>
      </c>
      <c r="HP64" s="29">
        <f t="shared" ref="HP64:HX64" si="1257">SUM(HP60:HP63)</f>
        <v>124.75</v>
      </c>
      <c r="HQ64" s="29">
        <f>SUM(HQ60:HQ63)</f>
        <v>1363.25</v>
      </c>
      <c r="HR64" s="29">
        <f t="shared" si="1257"/>
        <v>1488</v>
      </c>
      <c r="HS64" s="79">
        <f>(HS60*IG60+HS61*IG61+HS62*IG62+HS63*IG63)/IG64</f>
        <v>0.5</v>
      </c>
      <c r="HT64" s="29">
        <f t="shared" si="1257"/>
        <v>0</v>
      </c>
      <c r="HU64" s="79">
        <f>(HU60*IG60+HU61*IG61+HU62*IG62+HU63*IG63)/IG64</f>
        <v>0</v>
      </c>
      <c r="HV64" s="30">
        <f>SUM(HV60:HV63)</f>
        <v>0</v>
      </c>
      <c r="HW64" s="78">
        <f>(HW60*IG60+HW61*IG61+HW62*IG62+HW63*IG63)/IG64</f>
        <v>0</v>
      </c>
      <c r="HX64" s="29">
        <f t="shared" si="1257"/>
        <v>0</v>
      </c>
      <c r="HY64" s="78">
        <f>(HY60*IG60+HY61*IG61+HY62*IG62+HY63*IG63)/IG64</f>
        <v>0.5</v>
      </c>
      <c r="HZ64" s="79">
        <f>(HZ60*IG60+HZ61*IG61+HZ62*IG62+HZ63*IG63)/IG64</f>
        <v>0.5</v>
      </c>
      <c r="IA64" s="79">
        <f>(IA60*IG60+IA61*IG61+IA62*IG62+IA63*IG63)/IG64</f>
        <v>0.71381909882083772</v>
      </c>
      <c r="IB64" s="79">
        <f>(IB60*IG60+IB61*IG61+IB62*IG62+IB63*IG63)/IG64</f>
        <v>0</v>
      </c>
      <c r="IC64" s="80">
        <f>(IC60*IG60+IC61*IG61+IC62*IG62+IC63*IG63)/IG64</f>
        <v>3.4189271749755619E-2</v>
      </c>
      <c r="ID64" s="29">
        <f t="shared" ref="ID64" si="1258">SUM(ID60:ID63)</f>
        <v>0</v>
      </c>
      <c r="IE64" s="30">
        <f>SUM(IE60:IE63)</f>
        <v>2976</v>
      </c>
      <c r="IF64" s="39">
        <f>SUM(IF60:IF63)</f>
        <v>5596.1</v>
      </c>
      <c r="IG64" s="29">
        <f>SUM(IG60:IG63)</f>
        <v>220</v>
      </c>
      <c r="IJ64" s="32" t="s">
        <v>84</v>
      </c>
      <c r="IK64" s="29">
        <f>SUM(IK60:IK63)</f>
        <v>1240.25</v>
      </c>
      <c r="IL64" s="29">
        <f t="shared" ref="IL64" si="1259">SUM(IL60:IL63)</f>
        <v>174.4</v>
      </c>
      <c r="IM64" s="29">
        <f>SUM(IM60:IM63)</f>
        <v>1065.8499999999999</v>
      </c>
      <c r="IN64" s="29">
        <f t="shared" ref="IN64" si="1260">SUM(IN60:IN63)</f>
        <v>1440</v>
      </c>
      <c r="IO64" s="78">
        <f>(IO60*JC60+IO61*JC61+IO62*JC62+IO63*JC63)/JC64</f>
        <v>0.5</v>
      </c>
      <c r="IP64" s="29">
        <f>SUM(IP60:IP63)</f>
        <v>0</v>
      </c>
      <c r="IQ64" s="78">
        <f>(IQ60*JC60+IQ61*JC61+IQ62*JC62+IQ63*JC63)/JC64</f>
        <v>0</v>
      </c>
      <c r="IR64" s="29">
        <f>SUM(IR60:IR63)</f>
        <v>199.75</v>
      </c>
      <c r="IS64" s="78">
        <f>(IS60*JC60+IS61*JC61+IS62*JC62+IS63*JC63)/JC64</f>
        <v>6.9357638888888892E-2</v>
      </c>
      <c r="IT64" s="29">
        <f>SUM(IT60:IT63)</f>
        <v>0</v>
      </c>
      <c r="IU64" s="79">
        <f>(IU60*JC60+IU61*JC61+IU62*JC62+IU63*JC63)/JC64</f>
        <v>0.43064236111111115</v>
      </c>
      <c r="IV64" s="80">
        <f>(IV60*JC60+IV61*JC61+IV62*JC62+IV63*JC63)/JC64</f>
        <v>0.43064236111111115</v>
      </c>
      <c r="IW64" s="80">
        <f>(IW60*JC60+IW61*JC61+IW62*JC62+IW63*JC63)/JC64</f>
        <v>0.69776343833311705</v>
      </c>
      <c r="IX64" s="80">
        <f>(IX60*JC60+IX61*JC61+IX62*JC62+IX63*JC63)/JC64</f>
        <v>0</v>
      </c>
      <c r="IY64" s="80">
        <f>(IY60*JC60+IY61*JC61+IY62*JC62+IY63*JC63)/JC64</f>
        <v>4.7970328282828281E-2</v>
      </c>
      <c r="IZ64" s="29">
        <f>SUM(IZ60:IZ63)</f>
        <v>0</v>
      </c>
      <c r="JA64" s="33">
        <f>SUM(JA60:JA63)</f>
        <v>2880</v>
      </c>
      <c r="JB64" s="47">
        <f>SUM(JB60:JB63)</f>
        <v>7598.5</v>
      </c>
      <c r="JC64" s="29">
        <f>SUM(JC60:JC63)</f>
        <v>220</v>
      </c>
    </row>
    <row r="65" spans="1:265" ht="15" x14ac:dyDescent="0.2">
      <c r="A65" s="74" t="s">
        <v>69</v>
      </c>
      <c r="B65" s="8" t="s">
        <v>70</v>
      </c>
      <c r="C65" s="8">
        <f>$B$4-F65-H65-J65</f>
        <v>744</v>
      </c>
      <c r="D65" s="8">
        <v>609</v>
      </c>
      <c r="E65" s="8">
        <v>135</v>
      </c>
      <c r="F65" s="8">
        <v>0</v>
      </c>
      <c r="G65" s="6">
        <f>(F65/$B$4)</f>
        <v>0</v>
      </c>
      <c r="H65" s="8">
        <v>0</v>
      </c>
      <c r="I65" s="6">
        <f>(H65/$B$4)</f>
        <v>0</v>
      </c>
      <c r="J65" s="8">
        <v>0</v>
      </c>
      <c r="K65" s="6">
        <f>(J65/$B$4)</f>
        <v>0</v>
      </c>
      <c r="L65" s="8">
        <v>0</v>
      </c>
      <c r="M65" s="69">
        <f t="shared" ref="M65:M78" si="1261">(C65/$B$4)</f>
        <v>1</v>
      </c>
      <c r="N65" s="69">
        <f t="shared" ref="N65:N78" si="1262">((C65-L65)/$B$4)</f>
        <v>1</v>
      </c>
      <c r="O65" s="69">
        <f t="shared" ref="O65:O78" si="1263">IF((AND(D65=0,F65=0)),0,(F65+L65)/(D65+F65+L65))</f>
        <v>0</v>
      </c>
      <c r="P65" s="149">
        <f t="shared" ref="P65:P78" si="1264">L65/$B$4</f>
        <v>0</v>
      </c>
      <c r="Q65" s="69">
        <f t="shared" ref="Q65:Q78" si="1265">(T65/($B$4*U65))</f>
        <v>0.80083166666666661</v>
      </c>
      <c r="R65" s="15">
        <v>0</v>
      </c>
      <c r="S65" s="6">
        <f>SUM(D65:F65,H65,J65)</f>
        <v>744</v>
      </c>
      <c r="T65" s="85">
        <v>14895.468999999999</v>
      </c>
      <c r="U65" s="8">
        <v>25</v>
      </c>
      <c r="W65" s="74" t="s">
        <v>69</v>
      </c>
      <c r="X65" s="8" t="s">
        <v>70</v>
      </c>
      <c r="Y65" s="8">
        <f>$X$4-AB65-AD65-AF65</f>
        <v>744</v>
      </c>
      <c r="Z65" s="8">
        <v>554</v>
      </c>
      <c r="AA65" s="8">
        <v>190</v>
      </c>
      <c r="AB65" s="8">
        <v>0</v>
      </c>
      <c r="AC65" s="8">
        <f>(AB65/$X$4)</f>
        <v>0</v>
      </c>
      <c r="AD65" s="8">
        <v>0</v>
      </c>
      <c r="AE65" s="8">
        <f>(AD65/$X$4)*100</f>
        <v>0</v>
      </c>
      <c r="AF65" s="8">
        <v>0</v>
      </c>
      <c r="AG65" s="8">
        <f>(AF65/$X$4)*100</f>
        <v>0</v>
      </c>
      <c r="AH65" s="8">
        <v>0</v>
      </c>
      <c r="AI65" s="69">
        <f>(Y65/$X$4)</f>
        <v>1</v>
      </c>
      <c r="AJ65" s="69">
        <f>((Y65-AH65)/$X$4)</f>
        <v>1</v>
      </c>
      <c r="AK65" s="69">
        <f>IF((AND(Z65=0,AB65=0)),0,(AB65+AH65)/(Z65+AB65+AH65))</f>
        <v>0</v>
      </c>
      <c r="AL65" s="149">
        <f>AH65/$X$4</f>
        <v>0</v>
      </c>
      <c r="AM65" s="69">
        <f>(AP65/($X$4*AQ65))</f>
        <v>0.72176440860215052</v>
      </c>
      <c r="AN65" s="15">
        <v>0</v>
      </c>
      <c r="AO65" s="6">
        <f>SUM(Z65:AB65,AD65,AF65)</f>
        <v>744</v>
      </c>
      <c r="AP65" s="85">
        <v>13424.817999999999</v>
      </c>
      <c r="AQ65" s="8">
        <v>25</v>
      </c>
      <c r="AS65" s="74" t="s">
        <v>69</v>
      </c>
      <c r="AT65" s="8" t="s">
        <v>70</v>
      </c>
      <c r="AU65" s="8">
        <f>$AT$4-AX65-AZ65-BB65</f>
        <v>720</v>
      </c>
      <c r="AV65" s="8">
        <v>641</v>
      </c>
      <c r="AW65" s="17">
        <f>720-AV65</f>
        <v>79</v>
      </c>
      <c r="AX65" s="8">
        <v>0</v>
      </c>
      <c r="AY65" s="6">
        <f>(AX65/$AT$4)</f>
        <v>0</v>
      </c>
      <c r="AZ65" s="8">
        <v>0</v>
      </c>
      <c r="BA65" s="6">
        <f>(AZ65/$AT$4)</f>
        <v>0</v>
      </c>
      <c r="BB65" s="8">
        <v>0</v>
      </c>
      <c r="BC65" s="6">
        <f>(BB65/$AT$4)</f>
        <v>0</v>
      </c>
      <c r="BD65" s="8">
        <v>0</v>
      </c>
      <c r="BE65" s="69">
        <f>(AU65/$AT$4)</f>
        <v>1</v>
      </c>
      <c r="BF65" s="69">
        <f>((AU65-BD65)/$AT$4)</f>
        <v>1</v>
      </c>
      <c r="BG65" s="69">
        <f>IF((AND(AV65=0,AX65=0)),0,(AX65+BD65)/(AV65+AX65+BD65))</f>
        <v>0</v>
      </c>
      <c r="BH65" s="149">
        <f>BD65/$AT$4</f>
        <v>0</v>
      </c>
      <c r="BI65" s="69">
        <f>(BL65/($AT$4*BM65))</f>
        <v>0.87831661111111115</v>
      </c>
      <c r="BJ65" s="6"/>
      <c r="BK65" s="6">
        <f>SUM(AV65:AX65,AZ65,BB65)</f>
        <v>720</v>
      </c>
      <c r="BL65" s="85">
        <v>15809.699000000001</v>
      </c>
      <c r="BM65" s="8">
        <v>25</v>
      </c>
      <c r="BO65" s="74" t="s">
        <v>69</v>
      </c>
      <c r="BP65" s="8" t="s">
        <v>70</v>
      </c>
      <c r="BQ65" s="6">
        <f>$BP$4-BT65-BV65-BX65</f>
        <v>744</v>
      </c>
      <c r="BR65" s="8">
        <v>459</v>
      </c>
      <c r="BS65" s="17">
        <f>744-BR65</f>
        <v>285</v>
      </c>
      <c r="BT65" s="8">
        <v>0</v>
      </c>
      <c r="BU65" s="6">
        <f>(BT65/$BP$4)</f>
        <v>0</v>
      </c>
      <c r="BV65" s="8">
        <v>0</v>
      </c>
      <c r="BW65" s="6">
        <f>(BV65/$BP$4)</f>
        <v>0</v>
      </c>
      <c r="BX65" s="6">
        <v>0</v>
      </c>
      <c r="BY65" s="6">
        <f>(BX65/$BP$4)</f>
        <v>0</v>
      </c>
      <c r="BZ65" s="8">
        <v>0</v>
      </c>
      <c r="CA65" s="69">
        <f>(BQ65/$BP$4)</f>
        <v>1</v>
      </c>
      <c r="CB65" s="69">
        <f>((BQ65-BZ65)/$BP$4)</f>
        <v>1</v>
      </c>
      <c r="CC65" s="149">
        <f>IF((AND(BR65=0,BT65=0)),0,(BT65+BZ65)/(BR65+BT65+BZ65))</f>
        <v>0</v>
      </c>
      <c r="CD65" s="149">
        <f>BZ65/$BP$4</f>
        <v>0</v>
      </c>
      <c r="CE65" s="69">
        <f>(CH65/($BP$4*CI65))</f>
        <v>0.61450435483870969</v>
      </c>
      <c r="CF65" s="69"/>
      <c r="CG65" s="42">
        <f>SUM(BR65:BT65,BV65,BX65)</f>
        <v>744</v>
      </c>
      <c r="CH65" s="43">
        <v>11429.781000000001</v>
      </c>
      <c r="CI65" s="8">
        <v>25</v>
      </c>
      <c r="CK65" s="74" t="s">
        <v>69</v>
      </c>
      <c r="CL65" s="8" t="s">
        <v>70</v>
      </c>
      <c r="CM65" s="6">
        <f>$CL$4-CP65-CR65-CT65</f>
        <v>656.57999999999993</v>
      </c>
      <c r="CN65" s="6">
        <v>436.83</v>
      </c>
      <c r="CO65" s="6">
        <v>219.75</v>
      </c>
      <c r="CP65" s="8">
        <v>6.95</v>
      </c>
      <c r="CQ65" s="6">
        <f>(CP65/$CL$4)</f>
        <v>9.6527777777777775E-3</v>
      </c>
      <c r="CR65" s="8">
        <v>0</v>
      </c>
      <c r="CS65" s="6">
        <f>(CR65/$CL$4)</f>
        <v>0</v>
      </c>
      <c r="CT65" s="6">
        <v>56.47</v>
      </c>
      <c r="CU65" s="6">
        <f>(CT65/$CL$4)</f>
        <v>7.8430555555555559E-2</v>
      </c>
      <c r="CV65" s="8">
        <v>0</v>
      </c>
      <c r="CW65" s="69">
        <f>(CM65/$CL$4)</f>
        <v>0.9119166666666666</v>
      </c>
      <c r="CX65" s="69">
        <f>((CM65-CV65)/$CL$4)</f>
        <v>0.9119166666666666</v>
      </c>
      <c r="CY65" s="149">
        <f>IF((AND(CN65=0,CP65=0)),0,(CP65+CV65)/(CN65+CP65+CV65))</f>
        <v>1.5660913065032225E-2</v>
      </c>
      <c r="CZ65" s="149">
        <f>CV65/$CL$4</f>
        <v>0</v>
      </c>
      <c r="DA65" s="69">
        <f>(DD65/($CL$4*DE65))</f>
        <v>0.68429238888888888</v>
      </c>
      <c r="DB65" s="6"/>
      <c r="DC65" s="6">
        <f>SUM(CN65:CP65,CR65,CT65)</f>
        <v>720</v>
      </c>
      <c r="DD65" s="43">
        <v>12317.263000000001</v>
      </c>
      <c r="DE65" s="8">
        <v>25</v>
      </c>
      <c r="DF65" s="6"/>
      <c r="DG65" s="74" t="s">
        <v>69</v>
      </c>
      <c r="DH65" s="8" t="s">
        <v>70</v>
      </c>
      <c r="DI65" s="6">
        <f>$DH$4-DL65-DN65-DP65</f>
        <v>733.47</v>
      </c>
      <c r="DJ65" s="8">
        <v>592.97</v>
      </c>
      <c r="DK65" s="8">
        <v>140.5</v>
      </c>
      <c r="DL65" s="8">
        <v>10.53</v>
      </c>
      <c r="DM65" s="69">
        <f t="shared" ref="DM65:DM76" si="1266">(DL65/$DH$4)</f>
        <v>1.4153225806451612E-2</v>
      </c>
      <c r="DN65" s="8">
        <v>0</v>
      </c>
      <c r="DO65" s="69">
        <f t="shared" ref="DO65:DO76" si="1267">(DN65/$DH$4)</f>
        <v>0</v>
      </c>
      <c r="DP65" s="91">
        <v>0</v>
      </c>
      <c r="DQ65" s="69">
        <f t="shared" ref="DQ65:DQ76" si="1268">(DP65/$DH$4)</f>
        <v>0</v>
      </c>
      <c r="DR65" s="8">
        <v>0</v>
      </c>
      <c r="DS65" s="69">
        <f>(DI65/$X$4)</f>
        <v>0.98584677419354838</v>
      </c>
      <c r="DT65" s="69">
        <f>((DI65-DR65)/$DH$4)</f>
        <v>0.98584677419354838</v>
      </c>
      <c r="DU65" s="149">
        <f>IF((AND(DJ65=0,DL65=0)),0,(DL65+DR65)/(DJ65+DL65+DR65))</f>
        <v>1.7448218724109361E-2</v>
      </c>
      <c r="DV65" s="149">
        <f>DR65/$DH$4</f>
        <v>0</v>
      </c>
      <c r="DW65" s="69">
        <f>(DZ65/($DH$4*EA65))</f>
        <v>0.82508005376344085</v>
      </c>
      <c r="DX65" s="69"/>
      <c r="DY65" s="15">
        <f>SUM(DJ65:DL65,DN65,DP65)</f>
        <v>744</v>
      </c>
      <c r="DZ65" s="43">
        <v>15346.489</v>
      </c>
      <c r="EA65" s="8">
        <v>25</v>
      </c>
      <c r="EC65" s="74" t="s">
        <v>69</v>
      </c>
      <c r="ED65" s="8" t="s">
        <v>70</v>
      </c>
      <c r="EE65" s="6">
        <f>$ED$4-EH65-EJ65-EL65</f>
        <v>634.16999999999996</v>
      </c>
      <c r="EF65" s="8">
        <v>379.08</v>
      </c>
      <c r="EG65" s="8">
        <v>255.09</v>
      </c>
      <c r="EH65" s="8">
        <v>72.45</v>
      </c>
      <c r="EI65" s="6">
        <f>(EH65/$ED$4)</f>
        <v>9.7379032258064518E-2</v>
      </c>
      <c r="EJ65" s="8">
        <v>37.380000000000003</v>
      </c>
      <c r="EK65" s="6">
        <f>(EJ65/$ED$4)</f>
        <v>5.0241935483870973E-2</v>
      </c>
      <c r="EL65" s="6">
        <v>0</v>
      </c>
      <c r="EM65" s="6">
        <f>(EL65/$ED$4)</f>
        <v>0</v>
      </c>
      <c r="EN65" s="8">
        <v>0</v>
      </c>
      <c r="EO65" s="69">
        <f>(EE65/$X$4)</f>
        <v>0.85237903225806444</v>
      </c>
      <c r="EP65" s="69">
        <f>((EE65-EN65)/$ED$4)</f>
        <v>0.85237903225806444</v>
      </c>
      <c r="EQ65" s="149">
        <f>IF((AND(EF65=0,EH65=0)),0,(EH65+EN65)/(EF65+EH65+EN65))</f>
        <v>0.16045445485349813</v>
      </c>
      <c r="ER65" s="149"/>
      <c r="ES65" s="69">
        <f>(EV65/($ED$4*EW65))</f>
        <v>0.52967784946236562</v>
      </c>
      <c r="ET65" s="6"/>
      <c r="EU65" s="6">
        <f>SUM(EF65:EH65,EJ65,EL65)</f>
        <v>744</v>
      </c>
      <c r="EV65" s="85">
        <v>9852.0079999999998</v>
      </c>
      <c r="EW65" s="8">
        <v>25</v>
      </c>
      <c r="EY65" s="74" t="s">
        <v>69</v>
      </c>
      <c r="EZ65" s="8" t="s">
        <v>70</v>
      </c>
      <c r="FA65" s="6">
        <f>$EZ$4-FD65-FF65-FH65</f>
        <v>645.4</v>
      </c>
      <c r="FB65" s="8">
        <v>367.68</v>
      </c>
      <c r="FC65" s="8">
        <v>277.72000000000003</v>
      </c>
      <c r="FD65" s="8">
        <v>26.6</v>
      </c>
      <c r="FE65" s="6">
        <f>(FD65/$EZ$4)</f>
        <v>3.9583333333333338E-2</v>
      </c>
      <c r="FF65" s="8">
        <v>0</v>
      </c>
      <c r="FG65" s="6">
        <f>(FF65/$EZ$4)</f>
        <v>0</v>
      </c>
      <c r="FH65" s="6">
        <v>0</v>
      </c>
      <c r="FI65" s="6">
        <f>(FH65/$EZ$4)</f>
        <v>0</v>
      </c>
      <c r="FJ65" s="8">
        <v>0</v>
      </c>
      <c r="FK65" s="69">
        <f>(FA65/$X$4)</f>
        <v>0.86747311827956985</v>
      </c>
      <c r="FL65" s="69">
        <f>((FA65-FJ65)/$EZ$4)</f>
        <v>0.96041666666666659</v>
      </c>
      <c r="FM65" s="149">
        <f>IF((AND(FB65=0,FD65=0)),0,(FD65+FJ65)/(FB65+FD65+FJ65))</f>
        <v>6.7464745865882109E-2</v>
      </c>
      <c r="FN65" s="149">
        <f>FJ65/$EZ$4</f>
        <v>0</v>
      </c>
      <c r="FO65" s="69">
        <f>(FR65/($EZ$4*FS65))</f>
        <v>0.55725982142857144</v>
      </c>
      <c r="FP65" s="6"/>
      <c r="FQ65" s="6">
        <f>SUM(FB65:FD65,FF65,FH65)</f>
        <v>672.00000000000011</v>
      </c>
      <c r="FR65" s="43">
        <v>9361.9650000000001</v>
      </c>
      <c r="FS65" s="8">
        <v>25</v>
      </c>
      <c r="FU65" s="74" t="s">
        <v>69</v>
      </c>
      <c r="FV65" s="8" t="s">
        <v>70</v>
      </c>
      <c r="FW65" s="6">
        <f>$FV$4-FZ65-GB65-GD65</f>
        <v>541.76</v>
      </c>
      <c r="FX65" s="8">
        <v>448.62</v>
      </c>
      <c r="FY65" s="8">
        <v>93.14</v>
      </c>
      <c r="FZ65" s="8">
        <v>202.24</v>
      </c>
      <c r="GA65" s="69">
        <f>(FZ65/$FV$4)</f>
        <v>0.27182795698924733</v>
      </c>
      <c r="GB65" s="8">
        <v>0</v>
      </c>
      <c r="GC65" s="69">
        <f>(GB65/$FV$4)</f>
        <v>0</v>
      </c>
      <c r="GD65" s="6">
        <v>0</v>
      </c>
      <c r="GE65" s="69">
        <f>(GD65/$FV$4)</f>
        <v>0</v>
      </c>
      <c r="GF65" s="8">
        <v>0</v>
      </c>
      <c r="GG65" s="69">
        <f>(FW65/$X$4)</f>
        <v>0.72817204301075267</v>
      </c>
      <c r="GH65" s="69">
        <f>((FW65-GF65)/$FV$4)</f>
        <v>0.72817204301075267</v>
      </c>
      <c r="GI65" s="149">
        <f>IF((AND(FX65=0,FZ65=0)),0,(FZ65+GF65)/(FX65+FZ65+GF65))</f>
        <v>0.31072734535844881</v>
      </c>
      <c r="GJ65" s="149">
        <f>GF65/$FV$4</f>
        <v>0</v>
      </c>
      <c r="GK65" s="69">
        <f>(GN65/($FV$4*GO65))</f>
        <v>0.59178790322580643</v>
      </c>
      <c r="GL65" s="69"/>
      <c r="GM65" s="6">
        <f>SUM(FX65:FZ65,GB65,GD65)</f>
        <v>744</v>
      </c>
      <c r="GN65" s="43">
        <v>11007.254999999999</v>
      </c>
      <c r="GO65" s="8">
        <v>25</v>
      </c>
      <c r="GQ65" s="74" t="s">
        <v>69</v>
      </c>
      <c r="GR65" s="8" t="s">
        <v>70</v>
      </c>
      <c r="GS65" s="6">
        <f>$GR$4-GV65-GX65-GZ65</f>
        <v>642.27</v>
      </c>
      <c r="GT65" s="8">
        <v>495.33</v>
      </c>
      <c r="GU65" s="8">
        <v>146.94</v>
      </c>
      <c r="GV65" s="8">
        <v>77.73</v>
      </c>
      <c r="GW65" s="6">
        <f>(GV65/$GR$4)</f>
        <v>0.10795833333333334</v>
      </c>
      <c r="GX65" s="8">
        <v>0</v>
      </c>
      <c r="GY65" s="6">
        <f>(GX65/$GR$4)</f>
        <v>0</v>
      </c>
      <c r="GZ65" s="6">
        <v>0</v>
      </c>
      <c r="HA65" s="6">
        <f>(GZ65/$GR$4)</f>
        <v>0</v>
      </c>
      <c r="HB65" s="8">
        <v>0</v>
      </c>
      <c r="HC65" s="69">
        <f>(GS65/$X$4)</f>
        <v>0.86326612903225808</v>
      </c>
      <c r="HD65" s="69">
        <f>((GS65-HB65)/$GR$4)</f>
        <v>0.89204166666666662</v>
      </c>
      <c r="HE65" s="149">
        <f>IF((AND(GT65=0,GV65=0)),0,(GV65+HB65)/(GT65+GV65+HB65))</f>
        <v>0.13564024709454509</v>
      </c>
      <c r="HF65" s="149">
        <f>HB65/$GR$4</f>
        <v>0</v>
      </c>
      <c r="HG65" s="69">
        <f>(HJ65/($GR$4*HK65))</f>
        <v>0.7045555555555556</v>
      </c>
      <c r="HH65" s="15">
        <v>0</v>
      </c>
      <c r="HI65" s="6">
        <f>SUM(GT65:GV65,GX65,GZ65)</f>
        <v>720</v>
      </c>
      <c r="HJ65" s="85">
        <v>12682</v>
      </c>
      <c r="HK65" s="8">
        <v>25</v>
      </c>
      <c r="HM65" s="74" t="s">
        <v>69</v>
      </c>
      <c r="HN65" s="8" t="s">
        <v>70</v>
      </c>
      <c r="HO65" s="8">
        <f>$HN$4-HR65-HT65-HV65</f>
        <v>0</v>
      </c>
      <c r="HP65" s="8">
        <v>0</v>
      </c>
      <c r="HQ65" s="52">
        <v>0</v>
      </c>
      <c r="HR65" s="8">
        <v>744</v>
      </c>
      <c r="HS65" s="6">
        <f>(HR65/$HN$4)</f>
        <v>1</v>
      </c>
      <c r="HT65" s="8">
        <v>0</v>
      </c>
      <c r="HU65" s="6">
        <f>(HT65/$HN$4)</f>
        <v>0</v>
      </c>
      <c r="HV65" s="8">
        <v>0</v>
      </c>
      <c r="HW65" s="6">
        <f>(HV65/$HN$4)</f>
        <v>0</v>
      </c>
      <c r="HX65" s="8">
        <v>0</v>
      </c>
      <c r="HY65" s="69">
        <f>(HO65/$HN$4)</f>
        <v>0</v>
      </c>
      <c r="HZ65" s="69">
        <f>((HO65-HX65)/$HN$4)</f>
        <v>0</v>
      </c>
      <c r="IA65" s="69">
        <f>IF((AND(HP65=0,HR65=0)),0,(HR65+HX65)/(HP65+HR65+HX65))</f>
        <v>1</v>
      </c>
      <c r="IB65" s="149">
        <f>HX65/$HN$4</f>
        <v>0</v>
      </c>
      <c r="IC65" s="69">
        <f>(IF65/($HN$4*IG65))</f>
        <v>0</v>
      </c>
      <c r="ID65" s="15">
        <v>1</v>
      </c>
      <c r="IE65" s="6">
        <f>SUM(HP65:HR65,HT65,HV65)</f>
        <v>744</v>
      </c>
      <c r="IF65" s="8">
        <v>0</v>
      </c>
      <c r="IG65" s="8">
        <v>25</v>
      </c>
      <c r="II65" s="74" t="s">
        <v>69</v>
      </c>
      <c r="IJ65" s="8" t="s">
        <v>70</v>
      </c>
      <c r="IK65" s="49">
        <f>$IJ$4-IN65-IP65-IR65</f>
        <v>720</v>
      </c>
      <c r="IL65" s="49">
        <v>24.44</v>
      </c>
      <c r="IM65" s="8">
        <v>695.56</v>
      </c>
      <c r="IN65" s="49">
        <v>0</v>
      </c>
      <c r="IO65" s="69">
        <f>(IN65/$IJ$4)</f>
        <v>0</v>
      </c>
      <c r="IP65" s="8">
        <v>0</v>
      </c>
      <c r="IQ65" s="69">
        <f>(IP65/$IJ$4)</f>
        <v>0</v>
      </c>
      <c r="IR65" s="6">
        <v>0</v>
      </c>
      <c r="IS65" s="69">
        <f>(IR65/$IJ$4)</f>
        <v>0</v>
      </c>
      <c r="IT65" s="8">
        <v>0</v>
      </c>
      <c r="IU65" s="69">
        <f>(IK65/$IJ$4)</f>
        <v>1</v>
      </c>
      <c r="IV65" s="69">
        <f>((IK65-IT65)/$IJ$4)</f>
        <v>1</v>
      </c>
      <c r="IW65" s="164">
        <f>IF((AND(IL65=0,IN65=0)),0,(IN65+IT65)/(IL65+IN65+IT65))</f>
        <v>0</v>
      </c>
      <c r="IX65" s="149">
        <f>IT65/$IJ$4</f>
        <v>0</v>
      </c>
      <c r="IY65" s="69">
        <f t="shared" ref="IY65:IY70" si="1269">(JB65/($IJ$4*JC65))</f>
        <v>3.123561111111111E-2</v>
      </c>
      <c r="IZ65" s="15">
        <v>0</v>
      </c>
      <c r="JA65" s="15">
        <f>SUM(IL65:IN65,IP65,IR65)</f>
        <v>720</v>
      </c>
      <c r="JB65" s="92">
        <v>562.24099999999999</v>
      </c>
      <c r="JC65" s="8">
        <v>25</v>
      </c>
      <c r="JE65" s="6"/>
    </row>
    <row r="66" spans="1:265" ht="14.25" x14ac:dyDescent="0.2">
      <c r="B66" s="8" t="s">
        <v>71</v>
      </c>
      <c r="C66" s="8">
        <f t="shared" ref="C66:C78" si="1270">$B$4-F66-H66-J66</f>
        <v>744</v>
      </c>
      <c r="D66" s="8">
        <v>594</v>
      </c>
      <c r="E66" s="8">
        <v>150</v>
      </c>
      <c r="F66" s="8">
        <v>0</v>
      </c>
      <c r="G66" s="6">
        <f t="shared" ref="G66:G78" si="1271">(F66/$B$4)</f>
        <v>0</v>
      </c>
      <c r="H66" s="8">
        <v>0</v>
      </c>
      <c r="I66" s="6">
        <f>(H66/$B$4)</f>
        <v>0</v>
      </c>
      <c r="J66" s="8">
        <v>0</v>
      </c>
      <c r="K66" s="6">
        <f t="shared" ref="K66:K78" si="1272">(J66/$B$4)</f>
        <v>0</v>
      </c>
      <c r="L66" s="8">
        <v>0</v>
      </c>
      <c r="M66" s="69">
        <f t="shared" si="1261"/>
        <v>1</v>
      </c>
      <c r="N66" s="69">
        <f t="shared" si="1262"/>
        <v>1</v>
      </c>
      <c r="O66" s="69">
        <f t="shared" si="1263"/>
        <v>0</v>
      </c>
      <c r="P66" s="149">
        <f t="shared" si="1264"/>
        <v>0</v>
      </c>
      <c r="Q66" s="69">
        <f t="shared" si="1265"/>
        <v>0.79934801075268813</v>
      </c>
      <c r="R66" s="15">
        <v>0</v>
      </c>
      <c r="S66" s="6">
        <f t="shared" ref="S66:S78" si="1273">SUM(D66:F66,H66,J66)</f>
        <v>744</v>
      </c>
      <c r="T66" s="85">
        <v>14867.873</v>
      </c>
      <c r="U66" s="8">
        <v>25</v>
      </c>
      <c r="X66" s="8" t="s">
        <v>71</v>
      </c>
      <c r="Y66" s="8">
        <f t="shared" ref="Y66:Y78" si="1274">$X$4-AB66-AD66-AF66</f>
        <v>744</v>
      </c>
      <c r="Z66" s="8">
        <v>524</v>
      </c>
      <c r="AA66" s="8">
        <v>220</v>
      </c>
      <c r="AB66" s="8">
        <v>0</v>
      </c>
      <c r="AC66" s="8">
        <f t="shared" ref="AC66:AC78" si="1275">(AB66/$X$4)</f>
        <v>0</v>
      </c>
      <c r="AD66" s="8">
        <v>0</v>
      </c>
      <c r="AE66" s="8">
        <f t="shared" ref="AE66:AG78" si="1276">(AD66/$X$4)*100</f>
        <v>0</v>
      </c>
      <c r="AF66" s="8">
        <v>0</v>
      </c>
      <c r="AG66" s="8">
        <f t="shared" si="1276"/>
        <v>0</v>
      </c>
      <c r="AH66" s="8">
        <v>0</v>
      </c>
      <c r="AI66" s="69">
        <f t="shared" ref="AI66:AI78" si="1277">(Y66/$X$4)</f>
        <v>1</v>
      </c>
      <c r="AJ66" s="69">
        <f t="shared" ref="AJ66:AJ78" si="1278">((Y66-AH66)/$X$4)</f>
        <v>1</v>
      </c>
      <c r="AK66" s="69">
        <f t="shared" ref="AK66:AK78" si="1279">IF((AND(Z66=0,AB66=0)),0,(AB66+AH66)/(Z66+AB66+AH66))</f>
        <v>0</v>
      </c>
      <c r="AL66" s="149">
        <f t="shared" ref="AL66:AL78" si="1280">AH66/$X$4</f>
        <v>0</v>
      </c>
      <c r="AM66" s="69">
        <f t="shared" ref="AM66:AM78" si="1281">(AP66/($X$4*AQ66))</f>
        <v>0.67399290322580641</v>
      </c>
      <c r="AN66" s="15">
        <v>0</v>
      </c>
      <c r="AO66" s="6">
        <f t="shared" ref="AO66:AO78" si="1282">SUM(Z66:AB66,AD66,AF66)</f>
        <v>744</v>
      </c>
      <c r="AP66" s="85">
        <v>12536.268</v>
      </c>
      <c r="AQ66" s="8">
        <v>25</v>
      </c>
      <c r="AT66" s="8" t="s">
        <v>71</v>
      </c>
      <c r="AU66" s="8">
        <f t="shared" ref="AU66:AU78" si="1283">$AT$4-AX66-AZ66-BB66</f>
        <v>720</v>
      </c>
      <c r="AV66" s="8">
        <v>632</v>
      </c>
      <c r="AW66" s="17">
        <f t="shared" ref="AW66:AW74" si="1284">720-AV66</f>
        <v>88</v>
      </c>
      <c r="AX66" s="8">
        <v>0</v>
      </c>
      <c r="AY66" s="6">
        <f t="shared" ref="AY66:BA67" si="1285">(AX66/$AT$4)</f>
        <v>0</v>
      </c>
      <c r="AZ66" s="8">
        <v>0</v>
      </c>
      <c r="BA66" s="6">
        <f t="shared" si="1285"/>
        <v>0</v>
      </c>
      <c r="BB66" s="8">
        <v>0</v>
      </c>
      <c r="BC66" s="6">
        <f t="shared" ref="BC66" si="1286">(BB66/$AT$4)</f>
        <v>0</v>
      </c>
      <c r="BD66" s="8">
        <v>0</v>
      </c>
      <c r="BE66" s="69">
        <f t="shared" ref="BE66" si="1287">(AU66/$AT$4)</f>
        <v>1</v>
      </c>
      <c r="BF66" s="69">
        <f t="shared" ref="BF66" si="1288">((AU66-BD66)/$AT$4)</f>
        <v>1</v>
      </c>
      <c r="BG66" s="69">
        <f t="shared" ref="BG66" si="1289">IF((AND(AV66=0,AX66=0)),0,(AX66+BD66)/(AV66+AX66+BD66))</f>
        <v>0</v>
      </c>
      <c r="BH66" s="149">
        <f t="shared" ref="BH66" si="1290">BD66/$AT$4</f>
        <v>0</v>
      </c>
      <c r="BI66" s="69">
        <f t="shared" ref="BI66" si="1291">(BL66/($AT$4*BM66))</f>
        <v>0.8859920555555556</v>
      </c>
      <c r="BJ66" s="6"/>
      <c r="BK66" s="6">
        <f t="shared" ref="BK66:BK78" si="1292">SUM(AV66:AX66,AZ66,BB66)</f>
        <v>720</v>
      </c>
      <c r="BL66" s="85">
        <v>15947.857</v>
      </c>
      <c r="BM66" s="8">
        <v>25</v>
      </c>
      <c r="BP66" s="8" t="s">
        <v>71</v>
      </c>
      <c r="BQ66" s="6">
        <f t="shared" ref="BQ66:BQ78" si="1293">$BP$4-BT66-BV66-BX66</f>
        <v>744</v>
      </c>
      <c r="BR66" s="8">
        <v>588</v>
      </c>
      <c r="BS66" s="17">
        <f t="shared" ref="BS66:BS74" si="1294">744-BR66</f>
        <v>156</v>
      </c>
      <c r="BT66" s="8">
        <v>0</v>
      </c>
      <c r="BU66" s="6">
        <f t="shared" ref="BU66:BW78" si="1295">(BT66/$BP$4)</f>
        <v>0</v>
      </c>
      <c r="BV66" s="8">
        <v>0</v>
      </c>
      <c r="BW66" s="6">
        <f t="shared" si="1295"/>
        <v>0</v>
      </c>
      <c r="BX66" s="6">
        <v>0</v>
      </c>
      <c r="BY66" s="6">
        <f t="shared" ref="BY66" si="1296">(BX66/$BP$4)</f>
        <v>0</v>
      </c>
      <c r="BZ66" s="8">
        <v>0</v>
      </c>
      <c r="CA66" s="69">
        <f t="shared" ref="CA66:CA68" si="1297">(BQ66/$BP$4)</f>
        <v>1</v>
      </c>
      <c r="CB66" s="69">
        <f t="shared" ref="CB66:CB68" si="1298">((BQ66-BZ66)/$BP$4)</f>
        <v>1</v>
      </c>
      <c r="CC66" s="149">
        <f t="shared" ref="CC66:CC68" si="1299">IF((AND(BR66=0,BT66=0)),0,(BT66+BZ66)/(BR66+BT66+BZ66))</f>
        <v>0</v>
      </c>
      <c r="CD66" s="149">
        <f t="shared" ref="CD66:CD68" si="1300">BZ66/$BP$4</f>
        <v>0</v>
      </c>
      <c r="CE66" s="69">
        <f t="shared" ref="CE66:CE68" si="1301">(CH66/($BP$4*CI66))</f>
        <v>0.7941422580645161</v>
      </c>
      <c r="CF66" s="69"/>
      <c r="CG66" s="42">
        <f t="shared" ref="CG66:CG78" si="1302">SUM(BR66:BT66,BV66,BX66)</f>
        <v>744</v>
      </c>
      <c r="CH66" s="43">
        <v>14771.046</v>
      </c>
      <c r="CI66" s="8">
        <v>25</v>
      </c>
      <c r="CL66" s="8" t="s">
        <v>71</v>
      </c>
      <c r="CM66" s="6">
        <f t="shared" ref="CM66:CM78" si="1303">$CL$4-CP66-CR66-CT66</f>
        <v>665.46</v>
      </c>
      <c r="CN66" s="6">
        <v>554.51</v>
      </c>
      <c r="CO66" s="6">
        <v>110.95000000000005</v>
      </c>
      <c r="CP66" s="8">
        <v>54.54</v>
      </c>
      <c r="CQ66" s="6">
        <f t="shared" ref="CQ66:CQ78" si="1304">(CP66/$CL$4)</f>
        <v>7.5749999999999998E-2</v>
      </c>
      <c r="CR66" s="8">
        <v>0</v>
      </c>
      <c r="CS66" s="6">
        <f t="shared" ref="CS66:CS78" si="1305">(CR66/$CL$4)</f>
        <v>0</v>
      </c>
      <c r="CT66" s="6">
        <v>0</v>
      </c>
      <c r="CU66" s="6">
        <f t="shared" ref="CU66:CU78" si="1306">(CT66/$CL$4)</f>
        <v>0</v>
      </c>
      <c r="CV66" s="8">
        <v>0</v>
      </c>
      <c r="CW66" s="69">
        <f t="shared" ref="CW66:CW67" si="1307">(CM66/$CL$4)</f>
        <v>0.92425000000000002</v>
      </c>
      <c r="CX66" s="69">
        <f t="shared" ref="CX66:CX67" si="1308">((CM66-CV66)/$CL$4)</f>
        <v>0.92425000000000002</v>
      </c>
      <c r="CY66" s="149">
        <f t="shared" ref="CY66:CY67" si="1309">IF((AND(CN66=0,CP66=0)),0,(CP66+CV66)/(CN66+CP66+CV66))</f>
        <v>8.9549298087184967E-2</v>
      </c>
      <c r="CZ66" s="149">
        <f t="shared" ref="CZ66:CZ67" si="1310">CV66/$CL$4</f>
        <v>0</v>
      </c>
      <c r="DA66" s="69">
        <f t="shared" ref="DA66:DA67" si="1311">(DD66/($CL$4*DE66))</f>
        <v>0.79912833333333333</v>
      </c>
      <c r="DB66" s="6"/>
      <c r="DC66" s="6">
        <f t="shared" ref="DC66:DC78" si="1312">SUM(CN66:CP66,CR66,CT66)</f>
        <v>720</v>
      </c>
      <c r="DD66" s="43">
        <v>14384.31</v>
      </c>
      <c r="DE66" s="8">
        <v>25</v>
      </c>
      <c r="DF66" s="6"/>
      <c r="DH66" s="8" t="s">
        <v>71</v>
      </c>
      <c r="DI66" s="6">
        <f t="shared" ref="DI66:DI78" si="1313">$DH$4-DL66-DN66-DP66</f>
        <v>669.25</v>
      </c>
      <c r="DJ66" s="8">
        <v>597.33000000000004</v>
      </c>
      <c r="DK66" s="8">
        <v>71.919999999999959</v>
      </c>
      <c r="DL66" s="8">
        <v>10.53</v>
      </c>
      <c r="DM66" s="69">
        <f t="shared" si="1266"/>
        <v>1.4153225806451612E-2</v>
      </c>
      <c r="DN66" s="8">
        <v>0</v>
      </c>
      <c r="DO66" s="69">
        <f t="shared" si="1267"/>
        <v>0</v>
      </c>
      <c r="DP66" s="91">
        <v>64.22</v>
      </c>
      <c r="DQ66" s="69">
        <f t="shared" si="1268"/>
        <v>8.631720430107527E-2</v>
      </c>
      <c r="DR66" s="8">
        <v>0</v>
      </c>
      <c r="DS66" s="69">
        <f t="shared" ref="DS66" si="1314">(DI66/$X$4)</f>
        <v>0.89952956989247312</v>
      </c>
      <c r="DT66" s="69">
        <f t="shared" ref="DT66" si="1315">((DI66-DR66)/$DH$4)</f>
        <v>0.89952956989247312</v>
      </c>
      <c r="DU66" s="149">
        <f t="shared" ref="DU66" si="1316">IF((AND(DJ66=0,DL66=0)),0,(DL66+DR66)/(DJ66+DL66+DR66))</f>
        <v>1.7323067811667158E-2</v>
      </c>
      <c r="DV66" s="149">
        <f t="shared" ref="DV66" si="1317">DR66/$DH$4</f>
        <v>0</v>
      </c>
      <c r="DW66" s="69">
        <f t="shared" ref="DW66" si="1318">(DZ66/($DH$4*EA66))</f>
        <v>0.84758279569892481</v>
      </c>
      <c r="DX66" s="69"/>
      <c r="DY66" s="15">
        <f t="shared" ref="DY66:DY78" si="1319">SUM(DJ66:DL66,DN66,DP66)</f>
        <v>744</v>
      </c>
      <c r="DZ66" s="43">
        <v>15765.04</v>
      </c>
      <c r="EA66" s="8">
        <v>25</v>
      </c>
      <c r="ED66" s="8" t="s">
        <v>71</v>
      </c>
      <c r="EE66" s="6">
        <f t="shared" ref="EE66:EE78" si="1320">$ED$4-EH66-EJ66-EL66</f>
        <v>688.14</v>
      </c>
      <c r="EF66" s="8">
        <v>449.57</v>
      </c>
      <c r="EG66" s="8">
        <v>238.57</v>
      </c>
      <c r="EH66" s="8">
        <v>23.7</v>
      </c>
      <c r="EI66" s="6">
        <f t="shared" ref="EI66:EI78" si="1321">(EH66/$ED$4)</f>
        <v>3.1854838709677417E-2</v>
      </c>
      <c r="EJ66" s="8">
        <v>32.159999999999997</v>
      </c>
      <c r="EK66" s="6">
        <f t="shared" ref="EK66:EK78" si="1322">(EJ66/$ED$4)</f>
        <v>4.3225806451612898E-2</v>
      </c>
      <c r="EL66" s="6">
        <v>0</v>
      </c>
      <c r="EM66" s="6">
        <f t="shared" ref="EM66:EM78" si="1323">(EL66/$ED$4)</f>
        <v>0</v>
      </c>
      <c r="EN66" s="8">
        <v>0</v>
      </c>
      <c r="EO66" s="69">
        <f t="shared" ref="EO66:EO78" si="1324">(EE66/$X$4)</f>
        <v>0.92491935483870968</v>
      </c>
      <c r="EP66" s="69">
        <f t="shared" ref="EP66:EP78" si="1325">((EE66-EN66)/$ED$4)</f>
        <v>0.92491935483870968</v>
      </c>
      <c r="EQ66" s="149">
        <f t="shared" ref="EQ66:EQ78" si="1326">IF((AND(EF66=0,EH66=0)),0,(EH66+EN66)/(EF66+EH66+EN66))</f>
        <v>5.0077122995330361E-2</v>
      </c>
      <c r="ER66" s="149"/>
      <c r="ES66" s="69">
        <f t="shared" ref="ES66:ES78" si="1327">(EV66/($ED$4*EW66))</f>
        <v>0.6731663440860215</v>
      </c>
      <c r="ET66" s="6"/>
      <c r="EU66" s="6">
        <f t="shared" ref="EU66:EU78" si="1328">SUM(EF66:EH66,EJ66,EL66)</f>
        <v>744</v>
      </c>
      <c r="EV66" s="85">
        <v>12520.894</v>
      </c>
      <c r="EW66" s="8">
        <v>25</v>
      </c>
      <c r="EZ66" s="8" t="s">
        <v>71</v>
      </c>
      <c r="FA66" s="6">
        <f t="shared" ref="FA66:FA78" si="1329">$EZ$4-FD66-FF66-FH66</f>
        <v>656.47</v>
      </c>
      <c r="FB66" s="8">
        <v>225.24</v>
      </c>
      <c r="FC66" s="8">
        <v>431.23</v>
      </c>
      <c r="FD66" s="8">
        <v>15.53</v>
      </c>
      <c r="FE66" s="6">
        <f t="shared" ref="FE66:FE78" si="1330">(FD66/$EZ$4)</f>
        <v>2.3110119047619046E-2</v>
      </c>
      <c r="FF66" s="8">
        <v>0</v>
      </c>
      <c r="FG66" s="6">
        <f t="shared" ref="FG66:FG78" si="1331">(FF66/$EZ$4)</f>
        <v>0</v>
      </c>
      <c r="FH66" s="6">
        <v>0</v>
      </c>
      <c r="FI66" s="6">
        <f t="shared" ref="FI66:FI78" si="1332">(FH66/$EZ$4)</f>
        <v>0</v>
      </c>
      <c r="FJ66" s="8">
        <v>0</v>
      </c>
      <c r="FK66" s="69">
        <f t="shared" ref="FK66:FK78" si="1333">(FA66/$X$4)</f>
        <v>0.88235215053763449</v>
      </c>
      <c r="FL66" s="69">
        <f t="shared" ref="FL66:FL78" si="1334">((FA66-FJ66)/$EZ$4)</f>
        <v>0.97688988095238094</v>
      </c>
      <c r="FM66" s="149">
        <f t="shared" ref="FM66:FM78" si="1335">IF((AND(FB66=0,FD66=0)),0,(FD66+FJ66)/(FB66+FD66+FJ66))</f>
        <v>6.4501391369356648E-2</v>
      </c>
      <c r="FN66" s="149">
        <f t="shared" ref="FN66:FN78" si="1336">FJ66/$EZ$4</f>
        <v>0</v>
      </c>
      <c r="FO66" s="69">
        <f t="shared" ref="FO66:FO78" si="1337">(FR66/($EZ$4*FS66))</f>
        <v>0.32784952380952381</v>
      </c>
      <c r="FP66" s="6"/>
      <c r="FQ66" s="6">
        <f t="shared" ref="FQ66:FQ78" si="1338">SUM(FB66:FD66,FF66,FH66)</f>
        <v>672</v>
      </c>
      <c r="FR66" s="43">
        <v>5507.8720000000003</v>
      </c>
      <c r="FS66" s="8">
        <v>25</v>
      </c>
      <c r="FV66" s="8" t="s">
        <v>71</v>
      </c>
      <c r="FW66" s="6">
        <f t="shared" ref="FW66:FW78" si="1339">$FV$4-FZ66-GB66-GD66</f>
        <v>736.42</v>
      </c>
      <c r="FX66" s="8">
        <v>523.04999999999995</v>
      </c>
      <c r="FY66" s="8">
        <v>213.37</v>
      </c>
      <c r="FZ66" s="8">
        <v>7.58</v>
      </c>
      <c r="GA66" s="69">
        <f t="shared" ref="GA66:GA78" si="1340">(FZ66/$FV$4)</f>
        <v>1.0188172043010753E-2</v>
      </c>
      <c r="GB66" s="8">
        <v>0</v>
      </c>
      <c r="GC66" s="69">
        <f t="shared" ref="GC66:GC78" si="1341">(GB66/$FV$4)</f>
        <v>0</v>
      </c>
      <c r="GD66" s="6">
        <v>0</v>
      </c>
      <c r="GE66" s="69">
        <f t="shared" ref="GE66:GE78" si="1342">(GD66/$FV$4)</f>
        <v>0</v>
      </c>
      <c r="GF66" s="8">
        <v>0</v>
      </c>
      <c r="GG66" s="69">
        <f t="shared" ref="GG66:GG78" si="1343">(FW66/$X$4)</f>
        <v>0.98981182795698919</v>
      </c>
      <c r="GH66" s="69">
        <f t="shared" ref="GH66:GH78" si="1344">((FW66-GF66)/$FV$4)</f>
        <v>0.98981182795698919</v>
      </c>
      <c r="GI66" s="149">
        <f t="shared" ref="GI66:GI78" si="1345">IF((AND(FX66=0,FZ66=0)),0,(FZ66+GF66)/(FX66+FZ66+GF66))</f>
        <v>1.4284906620432317E-2</v>
      </c>
      <c r="GJ66" s="149">
        <f t="shared" ref="GJ66:GJ78" si="1346">GF66/$FV$4</f>
        <v>0</v>
      </c>
      <c r="GK66" s="69">
        <f t="shared" ref="GK66:GK78" si="1347">(GN66/($FV$4*GO66))</f>
        <v>0.70275322580645161</v>
      </c>
      <c r="GL66" s="69"/>
      <c r="GM66" s="6">
        <f t="shared" ref="GM66:GM78" si="1348">SUM(FX66:FZ66,GB66,GD66)</f>
        <v>744</v>
      </c>
      <c r="GN66" s="43">
        <v>13071.21</v>
      </c>
      <c r="GO66" s="8">
        <v>25</v>
      </c>
      <c r="GR66" s="8" t="s">
        <v>71</v>
      </c>
      <c r="GS66" s="6">
        <f t="shared" ref="GS66:GS78" si="1349">$GR$4-GV66-GX66-GZ66</f>
        <v>607.37</v>
      </c>
      <c r="GT66" s="8">
        <v>545.47</v>
      </c>
      <c r="GU66" s="8">
        <v>61.9</v>
      </c>
      <c r="GV66" s="8">
        <v>112.63</v>
      </c>
      <c r="GW66" s="6">
        <f t="shared" ref="GW66:GW78" si="1350">(GV66/$GR$4)</f>
        <v>0.15643055555555554</v>
      </c>
      <c r="GX66" s="8">
        <v>0</v>
      </c>
      <c r="GY66" s="6">
        <f t="shared" ref="GY66:GY78" si="1351">(GX66/$GR$4)</f>
        <v>0</v>
      </c>
      <c r="GZ66" s="6">
        <v>0</v>
      </c>
      <c r="HA66" s="6">
        <f t="shared" ref="HA66:HA78" si="1352">(GZ66/$GR$4)</f>
        <v>0</v>
      </c>
      <c r="HB66" s="8">
        <v>0</v>
      </c>
      <c r="HC66" s="69">
        <f t="shared" ref="HC66:HC78" si="1353">(GS66/$X$4)</f>
        <v>0.81635752688172047</v>
      </c>
      <c r="HD66" s="69">
        <f t="shared" ref="HD66:HD78" si="1354">((GS66-HB66)/$GR$4)</f>
        <v>0.84356944444444448</v>
      </c>
      <c r="HE66" s="149">
        <f t="shared" ref="HE66:HE78" si="1355">IF((AND(GT66=0,GV66=0)),0,(GV66+HB66)/(GT66+GV66+HB66))</f>
        <v>0.17114420300866129</v>
      </c>
      <c r="HF66" s="149">
        <f t="shared" ref="HF66:HF78" si="1356">HB66/$GR$4</f>
        <v>0</v>
      </c>
      <c r="HG66" s="69">
        <f t="shared" ref="HG66:HG78" si="1357">(HJ66/($GR$4*HK66))</f>
        <v>0.79044111111111115</v>
      </c>
      <c r="HH66" s="15">
        <v>0</v>
      </c>
      <c r="HI66" s="6">
        <f t="shared" ref="HI66:HI78" si="1358">SUM(GT66:GV66,GX66,GZ66)</f>
        <v>720</v>
      </c>
      <c r="HJ66" s="85">
        <v>14227.94</v>
      </c>
      <c r="HK66" s="8">
        <v>25</v>
      </c>
      <c r="HN66" s="8" t="s">
        <v>71</v>
      </c>
      <c r="HO66" s="8">
        <f t="shared" ref="HO66:HO78" si="1359">$HN$4-HR66-HT66-HV66</f>
        <v>743.6</v>
      </c>
      <c r="HP66" s="8">
        <v>544.57000000000005</v>
      </c>
      <c r="HQ66" s="52">
        <v>199.03</v>
      </c>
      <c r="HR66" s="8">
        <v>0.4</v>
      </c>
      <c r="HS66" s="6">
        <f t="shared" ref="HS66:HS78" si="1360">(HR66/$HN$4)</f>
        <v>5.3763440860215054E-4</v>
      </c>
      <c r="HT66" s="8">
        <v>0</v>
      </c>
      <c r="HU66" s="6">
        <f t="shared" ref="HU66:HU78" si="1361">(HT66/$HN$4)</f>
        <v>0</v>
      </c>
      <c r="HV66" s="8">
        <v>0</v>
      </c>
      <c r="HW66" s="6">
        <f t="shared" ref="HW66:HW78" si="1362">(HV66/$HN$4)</f>
        <v>0</v>
      </c>
      <c r="HX66" s="8">
        <v>0</v>
      </c>
      <c r="HY66" s="69">
        <f t="shared" ref="HY66:HY78" si="1363">(HO66/$HN$4)</f>
        <v>0.99946236559139789</v>
      </c>
      <c r="HZ66" s="69">
        <f t="shared" ref="HZ66:HZ78" si="1364">((HO66-HX66)/$HN$4)</f>
        <v>0.99946236559139789</v>
      </c>
      <c r="IA66" s="69">
        <f t="shared" ref="IA66:IA78" si="1365">IF((AND(HP66=0,HR66=0)),0,(HR66+HX66)/(HP66+HR66+HX66))</f>
        <v>7.3398535699212796E-4</v>
      </c>
      <c r="IB66" s="149">
        <f t="shared" ref="IB66:IB78" si="1366">HX66/$HN$4</f>
        <v>0</v>
      </c>
      <c r="IC66" s="69">
        <f t="shared" ref="IC66:IC78" si="1367">(IF66/($HN$4*IG66))</f>
        <v>0.76745806451612897</v>
      </c>
      <c r="ID66" s="15">
        <v>1</v>
      </c>
      <c r="IE66" s="6">
        <f t="shared" ref="IE66:IE78" si="1368">SUM(HP66:HR66,HT66,HV66)</f>
        <v>744</v>
      </c>
      <c r="IF66" s="85">
        <v>14274.72</v>
      </c>
      <c r="IG66" s="8">
        <v>25</v>
      </c>
      <c r="IJ66" s="8" t="s">
        <v>71</v>
      </c>
      <c r="IK66" s="49">
        <f t="shared" ref="IK66:IK78" si="1369">$IJ$4-IN66-IP66-IR66</f>
        <v>552.48</v>
      </c>
      <c r="IL66" s="49">
        <v>429.36</v>
      </c>
      <c r="IM66" s="8">
        <v>123.12</v>
      </c>
      <c r="IN66" s="49">
        <v>167.52</v>
      </c>
      <c r="IO66" s="69">
        <f t="shared" ref="IO66:IO78" si="1370">(IN66/$IJ$4)</f>
        <v>0.23266666666666669</v>
      </c>
      <c r="IP66" s="8">
        <v>0</v>
      </c>
      <c r="IQ66" s="69">
        <f t="shared" ref="IQ66:IS78" si="1371">(IP66/$IJ$4)</f>
        <v>0</v>
      </c>
      <c r="IR66" s="6">
        <v>0</v>
      </c>
      <c r="IS66" s="69">
        <f t="shared" si="1371"/>
        <v>0</v>
      </c>
      <c r="IT66" s="8">
        <v>0</v>
      </c>
      <c r="IU66" s="69">
        <f t="shared" ref="IU66:IU78" si="1372">(IK66/$IJ$4)</f>
        <v>0.76733333333333331</v>
      </c>
      <c r="IV66" s="69">
        <f t="shared" ref="IV66:IV78" si="1373">((IK66-IT66)/$IJ$4)</f>
        <v>0.76733333333333331</v>
      </c>
      <c r="IW66" s="164">
        <f>IF((AND(IL66=0,IN66=0)),0,(IN66+IT66)/(IL66+IN66+IT66))</f>
        <v>0.28065942903096103</v>
      </c>
      <c r="IX66" s="149">
        <f t="shared" ref="IX66:IX78" si="1374">IT66/$IJ$4</f>
        <v>0</v>
      </c>
      <c r="IY66" s="69">
        <f t="shared" si="1269"/>
        <v>0.61498866666666663</v>
      </c>
      <c r="IZ66" s="15">
        <v>1</v>
      </c>
      <c r="JA66" s="15">
        <f t="shared" ref="JA66:JA78" si="1375">SUM(IL66:IN66,IP66,IR66)</f>
        <v>720</v>
      </c>
      <c r="JB66" s="92">
        <v>11069.796</v>
      </c>
      <c r="JC66" s="8">
        <v>25</v>
      </c>
      <c r="JE66" s="6"/>
    </row>
    <row r="67" spans="1:265" ht="14.25" x14ac:dyDescent="0.2">
      <c r="B67" s="8" t="s">
        <v>72</v>
      </c>
      <c r="C67" s="8">
        <f t="shared" si="1270"/>
        <v>0</v>
      </c>
      <c r="D67" s="8">
        <v>0</v>
      </c>
      <c r="E67" s="8">
        <v>0</v>
      </c>
      <c r="F67" s="8">
        <v>0</v>
      </c>
      <c r="G67" s="6">
        <f t="shared" si="1271"/>
        <v>0</v>
      </c>
      <c r="H67" s="8">
        <v>744</v>
      </c>
      <c r="I67" s="6">
        <f t="shared" ref="I67:I78" si="1376">(H67/$B$4)</f>
        <v>1</v>
      </c>
      <c r="J67" s="8">
        <v>0</v>
      </c>
      <c r="K67" s="6">
        <f t="shared" si="1272"/>
        <v>0</v>
      </c>
      <c r="L67" s="8">
        <v>0</v>
      </c>
      <c r="M67" s="69">
        <f t="shared" si="1261"/>
        <v>0</v>
      </c>
      <c r="N67" s="69">
        <f t="shared" si="1262"/>
        <v>0</v>
      </c>
      <c r="O67" s="69">
        <f t="shared" si="1263"/>
        <v>0</v>
      </c>
      <c r="P67" s="149">
        <f t="shared" si="1264"/>
        <v>0</v>
      </c>
      <c r="Q67" s="69">
        <f t="shared" si="1265"/>
        <v>0</v>
      </c>
      <c r="R67" s="15">
        <v>0</v>
      </c>
      <c r="S67" s="6">
        <f t="shared" si="1273"/>
        <v>744</v>
      </c>
      <c r="T67" s="8">
        <v>0</v>
      </c>
      <c r="U67" s="8">
        <v>25</v>
      </c>
      <c r="X67" s="8" t="s">
        <v>72</v>
      </c>
      <c r="Y67" s="8">
        <f t="shared" si="1274"/>
        <v>744</v>
      </c>
      <c r="Z67" s="8">
        <v>325</v>
      </c>
      <c r="AA67" s="8">
        <v>419</v>
      </c>
      <c r="AB67" s="8">
        <v>0</v>
      </c>
      <c r="AC67" s="8">
        <f t="shared" si="1275"/>
        <v>0</v>
      </c>
      <c r="AD67" s="8">
        <v>0</v>
      </c>
      <c r="AE67" s="8">
        <f t="shared" si="1276"/>
        <v>0</v>
      </c>
      <c r="AF67" s="8">
        <v>0</v>
      </c>
      <c r="AG67" s="8">
        <f t="shared" si="1276"/>
        <v>0</v>
      </c>
      <c r="AH67" s="8">
        <v>0</v>
      </c>
      <c r="AI67" s="69">
        <f t="shared" si="1277"/>
        <v>1</v>
      </c>
      <c r="AJ67" s="69">
        <f t="shared" si="1278"/>
        <v>1</v>
      </c>
      <c r="AK67" s="69">
        <f t="shared" si="1279"/>
        <v>0</v>
      </c>
      <c r="AL67" s="149">
        <f t="shared" si="1280"/>
        <v>0</v>
      </c>
      <c r="AM67" s="69">
        <f t="shared" si="1281"/>
        <v>0.43518833333333334</v>
      </c>
      <c r="AN67" s="15">
        <v>0</v>
      </c>
      <c r="AO67" s="6">
        <f t="shared" si="1282"/>
        <v>744</v>
      </c>
      <c r="AP67" s="85">
        <v>8094.5029999999997</v>
      </c>
      <c r="AQ67" s="8">
        <v>25</v>
      </c>
      <c r="AT67" s="8" t="s">
        <v>72</v>
      </c>
      <c r="AU67" s="8">
        <f t="shared" si="1283"/>
        <v>720</v>
      </c>
      <c r="AV67" s="8">
        <v>637</v>
      </c>
      <c r="AW67" s="17">
        <f t="shared" si="1284"/>
        <v>83</v>
      </c>
      <c r="AX67" s="8">
        <v>0</v>
      </c>
      <c r="AY67" s="6">
        <f t="shared" si="1285"/>
        <v>0</v>
      </c>
      <c r="AZ67" s="8">
        <v>0</v>
      </c>
      <c r="BA67" s="6">
        <f t="shared" si="1285"/>
        <v>0</v>
      </c>
      <c r="BB67" s="8">
        <v>0</v>
      </c>
      <c r="BC67" s="6">
        <f t="shared" ref="BC67" si="1377">(BB67/$AT$4)</f>
        <v>0</v>
      </c>
      <c r="BD67" s="8">
        <v>0</v>
      </c>
      <c r="BE67" s="69">
        <f>(AU67/$AT$4)</f>
        <v>1</v>
      </c>
      <c r="BF67" s="69">
        <f>((AU67-BD67)/$AT$4)</f>
        <v>1</v>
      </c>
      <c r="BG67" s="69">
        <f>IF((AND(AV67=0,AX67=0)),0,(AX67+BD67)/(AV67+AX67+BD67))</f>
        <v>0</v>
      </c>
      <c r="BH67" s="149">
        <f>BD67/$AT$4</f>
        <v>0</v>
      </c>
      <c r="BI67" s="69">
        <f>(BL67/($AT$4*BM67))</f>
        <v>0.9111555555555555</v>
      </c>
      <c r="BJ67" s="6"/>
      <c r="BK67" s="6">
        <f t="shared" si="1292"/>
        <v>720</v>
      </c>
      <c r="BL67" s="93">
        <v>16400.8</v>
      </c>
      <c r="BM67" s="8">
        <v>25</v>
      </c>
      <c r="BP67" s="8" t="s">
        <v>72</v>
      </c>
      <c r="BQ67" s="6">
        <f t="shared" si="1293"/>
        <v>744</v>
      </c>
      <c r="BR67" s="8">
        <v>550</v>
      </c>
      <c r="BS67" s="17">
        <f t="shared" si="1294"/>
        <v>194</v>
      </c>
      <c r="BT67" s="8">
        <v>0</v>
      </c>
      <c r="BU67" s="6">
        <f t="shared" si="1295"/>
        <v>0</v>
      </c>
      <c r="BV67" s="8">
        <v>0</v>
      </c>
      <c r="BW67" s="6">
        <f t="shared" si="1295"/>
        <v>0</v>
      </c>
      <c r="BX67" s="6">
        <v>0</v>
      </c>
      <c r="BY67" s="6">
        <f t="shared" ref="BY67" si="1378">(BX67/$BP$4)</f>
        <v>0</v>
      </c>
      <c r="BZ67" s="8">
        <v>0</v>
      </c>
      <c r="CA67" s="69">
        <f t="shared" si="1297"/>
        <v>1</v>
      </c>
      <c r="CB67" s="69">
        <f t="shared" si="1298"/>
        <v>1</v>
      </c>
      <c r="CC67" s="149">
        <f t="shared" si="1299"/>
        <v>0</v>
      </c>
      <c r="CD67" s="149">
        <f t="shared" si="1300"/>
        <v>0</v>
      </c>
      <c r="CE67" s="69">
        <f t="shared" si="1301"/>
        <v>0.74803822580645163</v>
      </c>
      <c r="CF67" s="69"/>
      <c r="CG67" s="42">
        <f t="shared" si="1302"/>
        <v>744</v>
      </c>
      <c r="CH67" s="43">
        <v>13913.511</v>
      </c>
      <c r="CI67" s="8">
        <v>25</v>
      </c>
      <c r="CL67" s="8" t="s">
        <v>72</v>
      </c>
      <c r="CM67" s="6">
        <f t="shared" si="1303"/>
        <v>656.9</v>
      </c>
      <c r="CN67" s="6">
        <v>496.67</v>
      </c>
      <c r="CO67" s="6">
        <v>160.23000000000002</v>
      </c>
      <c r="CP67" s="8">
        <v>63.1</v>
      </c>
      <c r="CQ67" s="6">
        <f t="shared" si="1304"/>
        <v>8.7638888888888891E-2</v>
      </c>
      <c r="CR67" s="8">
        <v>0</v>
      </c>
      <c r="CS67" s="6">
        <f t="shared" si="1305"/>
        <v>0</v>
      </c>
      <c r="CT67" s="6">
        <v>0</v>
      </c>
      <c r="CU67" s="6">
        <f t="shared" si="1306"/>
        <v>0</v>
      </c>
      <c r="CV67" s="8">
        <v>0</v>
      </c>
      <c r="CW67" s="69">
        <f t="shared" si="1307"/>
        <v>0.91236111111111107</v>
      </c>
      <c r="CX67" s="69">
        <f t="shared" si="1308"/>
        <v>0.91236111111111107</v>
      </c>
      <c r="CY67" s="149">
        <f t="shared" si="1309"/>
        <v>0.11272486914268361</v>
      </c>
      <c r="CZ67" s="149">
        <f t="shared" si="1310"/>
        <v>0</v>
      </c>
      <c r="DA67" s="69">
        <f t="shared" si="1311"/>
        <v>0.73326777777777774</v>
      </c>
      <c r="DB67" s="6"/>
      <c r="DC67" s="6">
        <f t="shared" si="1312"/>
        <v>720.00000000000011</v>
      </c>
      <c r="DD67" s="43">
        <v>13198.82</v>
      </c>
      <c r="DE67" s="8">
        <v>25</v>
      </c>
      <c r="DF67" s="6"/>
      <c r="DH67" s="8" t="s">
        <v>72</v>
      </c>
      <c r="DI67" s="6">
        <f t="shared" si="1313"/>
        <v>677.77</v>
      </c>
      <c r="DJ67" s="8">
        <v>491.64</v>
      </c>
      <c r="DK67" s="8">
        <v>186.13</v>
      </c>
      <c r="DL67" s="8">
        <v>3.35</v>
      </c>
      <c r="DM67" s="69">
        <f t="shared" si="1266"/>
        <v>4.5026881720430113E-3</v>
      </c>
      <c r="DN67" s="8">
        <v>0</v>
      </c>
      <c r="DO67" s="69">
        <f t="shared" si="1267"/>
        <v>0</v>
      </c>
      <c r="DP67" s="91">
        <v>62.88</v>
      </c>
      <c r="DQ67" s="69">
        <f t="shared" si="1268"/>
        <v>8.4516129032258067E-2</v>
      </c>
      <c r="DR67" s="8">
        <v>0</v>
      </c>
      <c r="DS67" s="69">
        <f>(DI67/$X$4)</f>
        <v>0.91098118279569895</v>
      </c>
      <c r="DT67" s="69">
        <f>((DI67-DR67)/$DH$4)</f>
        <v>0.91098118279569895</v>
      </c>
      <c r="DU67" s="149">
        <f>IF((AND(DJ67=0,DL67=0)),0,(DL67+DR67)/(DJ67+DL67+DR67))</f>
        <v>6.7678134911816398E-3</v>
      </c>
      <c r="DV67" s="149">
        <f>DR67/$DH$4</f>
        <v>0</v>
      </c>
      <c r="DW67" s="69">
        <f>(DZ67/($DH$4*EA67))</f>
        <v>0.69805913978494627</v>
      </c>
      <c r="DX67" s="69"/>
      <c r="DY67" s="15">
        <f t="shared" si="1319"/>
        <v>744</v>
      </c>
      <c r="DZ67" s="43">
        <v>12983.9</v>
      </c>
      <c r="EA67" s="8">
        <v>25</v>
      </c>
      <c r="ED67" s="8" t="s">
        <v>72</v>
      </c>
      <c r="EE67" s="6">
        <f t="shared" si="1320"/>
        <v>688.54</v>
      </c>
      <c r="EF67" s="8">
        <v>419.18</v>
      </c>
      <c r="EG67" s="8">
        <v>269.36</v>
      </c>
      <c r="EH67" s="8">
        <v>23.7</v>
      </c>
      <c r="EI67" s="6">
        <f t="shared" si="1321"/>
        <v>3.1854838709677417E-2</v>
      </c>
      <c r="EJ67" s="8">
        <v>31.76</v>
      </c>
      <c r="EK67" s="6">
        <f t="shared" si="1322"/>
        <v>4.2688172043010758E-2</v>
      </c>
      <c r="EL67" s="6">
        <v>0</v>
      </c>
      <c r="EM67" s="6">
        <f t="shared" si="1323"/>
        <v>0</v>
      </c>
      <c r="EN67" s="8">
        <v>0</v>
      </c>
      <c r="EO67" s="69">
        <f t="shared" si="1324"/>
        <v>0.92545698924731179</v>
      </c>
      <c r="EP67" s="69">
        <f t="shared" si="1325"/>
        <v>0.92545698924731179</v>
      </c>
      <c r="EQ67" s="149">
        <f t="shared" si="1326"/>
        <v>5.3513367052023121E-2</v>
      </c>
      <c r="ER67" s="149"/>
      <c r="ES67" s="69">
        <f t="shared" si="1327"/>
        <v>0.60928908602150533</v>
      </c>
      <c r="ET67" s="6"/>
      <c r="EU67" s="6">
        <f t="shared" si="1328"/>
        <v>744</v>
      </c>
      <c r="EV67" s="85">
        <v>11332.777</v>
      </c>
      <c r="EW67" s="8">
        <v>25</v>
      </c>
      <c r="EZ67" s="8" t="s">
        <v>72</v>
      </c>
      <c r="FA67" s="6">
        <f t="shared" si="1329"/>
        <v>672</v>
      </c>
      <c r="FB67" s="8">
        <v>247.84</v>
      </c>
      <c r="FC67" s="8">
        <v>424.16</v>
      </c>
      <c r="FD67" s="8">
        <v>0</v>
      </c>
      <c r="FE67" s="6">
        <f t="shared" si="1330"/>
        <v>0</v>
      </c>
      <c r="FF67" s="8">
        <v>0</v>
      </c>
      <c r="FG67" s="6">
        <f t="shared" si="1331"/>
        <v>0</v>
      </c>
      <c r="FH67" s="6">
        <v>0</v>
      </c>
      <c r="FI67" s="6">
        <f t="shared" si="1332"/>
        <v>0</v>
      </c>
      <c r="FJ67" s="8">
        <v>0</v>
      </c>
      <c r="FK67" s="69">
        <f t="shared" si="1333"/>
        <v>0.90322580645161288</v>
      </c>
      <c r="FL67" s="69">
        <f t="shared" si="1334"/>
        <v>1</v>
      </c>
      <c r="FM67" s="149">
        <f t="shared" si="1335"/>
        <v>0</v>
      </c>
      <c r="FN67" s="149">
        <f t="shared" si="1336"/>
        <v>0</v>
      </c>
      <c r="FO67" s="69">
        <f t="shared" si="1337"/>
        <v>0.36574130952380951</v>
      </c>
      <c r="FP67" s="6"/>
      <c r="FQ67" s="6">
        <f t="shared" si="1338"/>
        <v>672</v>
      </c>
      <c r="FR67" s="43">
        <v>6144.4539999999997</v>
      </c>
      <c r="FS67" s="8">
        <v>25</v>
      </c>
      <c r="FV67" s="8" t="s">
        <v>72</v>
      </c>
      <c r="FW67" s="6">
        <f t="shared" si="1339"/>
        <v>734.15</v>
      </c>
      <c r="FX67" s="8">
        <v>522.04</v>
      </c>
      <c r="FY67" s="8">
        <v>212.11</v>
      </c>
      <c r="FZ67" s="8">
        <v>9.85</v>
      </c>
      <c r="GA67" s="69">
        <f t="shared" si="1340"/>
        <v>1.3239247311827957E-2</v>
      </c>
      <c r="GB67" s="8">
        <v>0</v>
      </c>
      <c r="GC67" s="69">
        <f t="shared" si="1341"/>
        <v>0</v>
      </c>
      <c r="GD67" s="6">
        <v>0</v>
      </c>
      <c r="GE67" s="69">
        <f t="shared" si="1342"/>
        <v>0</v>
      </c>
      <c r="GF67" s="8">
        <v>0</v>
      </c>
      <c r="GG67" s="69">
        <f t="shared" si="1343"/>
        <v>0.98676075268817198</v>
      </c>
      <c r="GH67" s="69">
        <f t="shared" si="1344"/>
        <v>0.98676075268817198</v>
      </c>
      <c r="GI67" s="149">
        <f t="shared" si="1345"/>
        <v>1.8518866682960763E-2</v>
      </c>
      <c r="GJ67" s="149">
        <f t="shared" si="1346"/>
        <v>0</v>
      </c>
      <c r="GK67" s="69">
        <f t="shared" si="1347"/>
        <v>0.70278327956989251</v>
      </c>
      <c r="GL67" s="69"/>
      <c r="GM67" s="6">
        <f t="shared" si="1348"/>
        <v>744</v>
      </c>
      <c r="GN67" s="43">
        <v>13071.769</v>
      </c>
      <c r="GO67" s="8">
        <v>25</v>
      </c>
      <c r="GR67" s="8" t="s">
        <v>72</v>
      </c>
      <c r="GS67" s="6">
        <f t="shared" si="1349"/>
        <v>720</v>
      </c>
      <c r="GT67" s="8">
        <v>584.85</v>
      </c>
      <c r="GU67" s="8">
        <v>135.15</v>
      </c>
      <c r="GV67" s="8">
        <v>0</v>
      </c>
      <c r="GW67" s="6">
        <f t="shared" si="1350"/>
        <v>0</v>
      </c>
      <c r="GX67" s="8">
        <v>0</v>
      </c>
      <c r="GY67" s="6">
        <f t="shared" si="1351"/>
        <v>0</v>
      </c>
      <c r="GZ67" s="6">
        <v>0</v>
      </c>
      <c r="HA67" s="6">
        <f t="shared" si="1352"/>
        <v>0</v>
      </c>
      <c r="HB67" s="8">
        <v>0</v>
      </c>
      <c r="HC67" s="69">
        <f t="shared" si="1353"/>
        <v>0.967741935483871</v>
      </c>
      <c r="HD67" s="69">
        <f t="shared" si="1354"/>
        <v>1</v>
      </c>
      <c r="HE67" s="149">
        <f t="shared" si="1355"/>
        <v>0</v>
      </c>
      <c r="HF67" s="149">
        <f t="shared" si="1356"/>
        <v>0</v>
      </c>
      <c r="HG67" s="69">
        <f t="shared" si="1357"/>
        <v>0.8660283333333334</v>
      </c>
      <c r="HH67" s="15">
        <v>0</v>
      </c>
      <c r="HI67" s="6">
        <f t="shared" si="1358"/>
        <v>720</v>
      </c>
      <c r="HJ67" s="85">
        <v>15588.51</v>
      </c>
      <c r="HK67" s="8">
        <v>25</v>
      </c>
      <c r="HN67" s="8" t="s">
        <v>72</v>
      </c>
      <c r="HO67" s="8">
        <f t="shared" si="1359"/>
        <v>732.95</v>
      </c>
      <c r="HP67" s="8">
        <v>517.04</v>
      </c>
      <c r="HQ67" s="52">
        <v>215.91</v>
      </c>
      <c r="HR67" s="8">
        <v>11.05</v>
      </c>
      <c r="HS67" s="6">
        <f t="shared" si="1360"/>
        <v>1.4852150537634409E-2</v>
      </c>
      <c r="HT67" s="8">
        <v>0</v>
      </c>
      <c r="HU67" s="6">
        <f t="shared" si="1361"/>
        <v>0</v>
      </c>
      <c r="HV67" s="8">
        <v>0</v>
      </c>
      <c r="HW67" s="6">
        <f t="shared" si="1362"/>
        <v>0</v>
      </c>
      <c r="HX67" s="8">
        <v>0</v>
      </c>
      <c r="HY67" s="69">
        <f t="shared" si="1363"/>
        <v>0.98514784946236567</v>
      </c>
      <c r="HZ67" s="69">
        <f t="shared" si="1364"/>
        <v>0.98514784946236567</v>
      </c>
      <c r="IA67" s="69">
        <f t="shared" si="1365"/>
        <v>2.092446363309285E-2</v>
      </c>
      <c r="IB67" s="149">
        <f t="shared" si="1366"/>
        <v>0</v>
      </c>
      <c r="IC67" s="69">
        <f t="shared" si="1367"/>
        <v>0.72609677419354834</v>
      </c>
      <c r="ID67" s="15">
        <v>1</v>
      </c>
      <c r="IE67" s="6">
        <f t="shared" si="1368"/>
        <v>743.99999999999989</v>
      </c>
      <c r="IF67" s="85">
        <v>13505.4</v>
      </c>
      <c r="IG67" s="8">
        <v>25</v>
      </c>
      <c r="IJ67" s="8" t="s">
        <v>72</v>
      </c>
      <c r="IK67" s="49">
        <f t="shared" si="1369"/>
        <v>720</v>
      </c>
      <c r="IL67" s="49">
        <v>561.36</v>
      </c>
      <c r="IM67" s="8">
        <v>158.63999999999999</v>
      </c>
      <c r="IN67" s="49">
        <v>0</v>
      </c>
      <c r="IO67" s="69">
        <f t="shared" si="1370"/>
        <v>0</v>
      </c>
      <c r="IP67" s="8">
        <v>0</v>
      </c>
      <c r="IQ67" s="69">
        <f t="shared" si="1371"/>
        <v>0</v>
      </c>
      <c r="IR67" s="6">
        <v>0</v>
      </c>
      <c r="IS67" s="69">
        <f t="shared" si="1371"/>
        <v>0</v>
      </c>
      <c r="IT67" s="8">
        <v>0</v>
      </c>
      <c r="IU67" s="69">
        <f t="shared" si="1372"/>
        <v>1</v>
      </c>
      <c r="IV67" s="69">
        <f t="shared" si="1373"/>
        <v>1</v>
      </c>
      <c r="IW67" s="164">
        <f t="shared" ref="IW67:IW73" si="1379">IF((AND(IL67=0,IN67=0)),0,(IN67+IT67)/(IL67+IN67+IT67))</f>
        <v>0</v>
      </c>
      <c r="IX67" s="149">
        <f t="shared" si="1374"/>
        <v>0</v>
      </c>
      <c r="IY67" s="69">
        <f t="shared" si="1269"/>
        <v>0.76006505555555559</v>
      </c>
      <c r="IZ67" s="15">
        <v>0</v>
      </c>
      <c r="JA67" s="15">
        <f t="shared" si="1375"/>
        <v>720</v>
      </c>
      <c r="JB67" s="92">
        <v>13681.171</v>
      </c>
      <c r="JC67" s="8">
        <v>25</v>
      </c>
      <c r="JE67" s="6"/>
    </row>
    <row r="68" spans="1:265" ht="14.25" x14ac:dyDescent="0.2">
      <c r="B68" s="8" t="s">
        <v>73</v>
      </c>
      <c r="C68" s="8">
        <f t="shared" si="1270"/>
        <v>744</v>
      </c>
      <c r="D68" s="8">
        <v>608</v>
      </c>
      <c r="E68" s="8">
        <v>136</v>
      </c>
      <c r="F68" s="8">
        <v>0</v>
      </c>
      <c r="G68" s="6">
        <f t="shared" si="1271"/>
        <v>0</v>
      </c>
      <c r="H68" s="8">
        <v>0</v>
      </c>
      <c r="I68" s="6">
        <f t="shared" si="1376"/>
        <v>0</v>
      </c>
      <c r="J68" s="8">
        <v>0</v>
      </c>
      <c r="K68" s="6">
        <f t="shared" si="1272"/>
        <v>0</v>
      </c>
      <c r="L68" s="8">
        <v>0</v>
      </c>
      <c r="M68" s="69">
        <f t="shared" si="1261"/>
        <v>1</v>
      </c>
      <c r="N68" s="69">
        <f t="shared" si="1262"/>
        <v>1</v>
      </c>
      <c r="O68" s="69">
        <f t="shared" si="1263"/>
        <v>0</v>
      </c>
      <c r="P68" s="149">
        <f t="shared" si="1264"/>
        <v>0</v>
      </c>
      <c r="Q68" s="69">
        <f t="shared" si="1265"/>
        <v>0.82060295698924735</v>
      </c>
      <c r="R68" s="15">
        <v>0</v>
      </c>
      <c r="S68" s="6">
        <f t="shared" si="1273"/>
        <v>744</v>
      </c>
      <c r="T68" s="85">
        <v>15263.215</v>
      </c>
      <c r="U68" s="8">
        <v>25</v>
      </c>
      <c r="X68" s="8" t="s">
        <v>73</v>
      </c>
      <c r="Y68" s="8">
        <f t="shared" si="1274"/>
        <v>744</v>
      </c>
      <c r="Z68" s="8">
        <v>600</v>
      </c>
      <c r="AA68" s="8">
        <v>144</v>
      </c>
      <c r="AB68" s="8">
        <v>0</v>
      </c>
      <c r="AC68" s="8">
        <f t="shared" si="1275"/>
        <v>0</v>
      </c>
      <c r="AD68" s="8">
        <v>0</v>
      </c>
      <c r="AE68" s="8">
        <f t="shared" si="1276"/>
        <v>0</v>
      </c>
      <c r="AF68" s="8">
        <v>0</v>
      </c>
      <c r="AG68" s="8">
        <f t="shared" si="1276"/>
        <v>0</v>
      </c>
      <c r="AH68" s="8">
        <v>0</v>
      </c>
      <c r="AI68" s="69">
        <f t="shared" si="1277"/>
        <v>1</v>
      </c>
      <c r="AJ68" s="69">
        <f t="shared" si="1278"/>
        <v>1</v>
      </c>
      <c r="AK68" s="69">
        <f t="shared" si="1279"/>
        <v>0</v>
      </c>
      <c r="AL68" s="149">
        <f t="shared" si="1280"/>
        <v>0</v>
      </c>
      <c r="AM68" s="69">
        <f t="shared" si="1281"/>
        <v>0.7997263440860215</v>
      </c>
      <c r="AN68" s="15">
        <v>0</v>
      </c>
      <c r="AO68" s="6">
        <f t="shared" si="1282"/>
        <v>744</v>
      </c>
      <c r="AP68" s="85">
        <v>14874.91</v>
      </c>
      <c r="AQ68" s="8">
        <v>25</v>
      </c>
      <c r="AT68" s="8" t="s">
        <v>73</v>
      </c>
      <c r="AU68" s="8">
        <f t="shared" si="1283"/>
        <v>720</v>
      </c>
      <c r="AV68" s="8">
        <v>643</v>
      </c>
      <c r="AW68" s="17">
        <f t="shared" si="1284"/>
        <v>77</v>
      </c>
      <c r="AX68" s="8">
        <v>0</v>
      </c>
      <c r="AY68" s="6">
        <f>(AX68/$AT$4)</f>
        <v>0</v>
      </c>
      <c r="AZ68" s="8">
        <v>0</v>
      </c>
      <c r="BA68" s="6">
        <f>(AZ68/$AT$4)</f>
        <v>0</v>
      </c>
      <c r="BB68" s="8">
        <v>0</v>
      </c>
      <c r="BC68" s="6">
        <f>(BB68/$AT$4)</f>
        <v>0</v>
      </c>
      <c r="BD68" s="8">
        <v>0</v>
      </c>
      <c r="BE68" s="69">
        <f t="shared" ref="BE68:BE71" si="1380">(AU68/$AT$4)</f>
        <v>1</v>
      </c>
      <c r="BF68" s="69">
        <f t="shared" ref="BF68:BF71" si="1381">((AU68-BD68)/$AT$4)</f>
        <v>1</v>
      </c>
      <c r="BG68" s="69">
        <f t="shared" ref="BG68:BG71" si="1382">IF((AND(AV68=0,AX68=0)),0,(AX68+BD68)/(AV68+AX68+BD68))</f>
        <v>0</v>
      </c>
      <c r="BH68" s="149">
        <f t="shared" ref="BH68:BH71" si="1383">BD68/$AT$4</f>
        <v>0</v>
      </c>
      <c r="BI68" s="69">
        <f t="shared" ref="BI68:BI71" si="1384">(BL68/($AT$4*BM68))</f>
        <v>0.89910772222222224</v>
      </c>
      <c r="BJ68" s="6"/>
      <c r="BK68" s="6">
        <f t="shared" si="1292"/>
        <v>720</v>
      </c>
      <c r="BL68" s="93">
        <v>16183.939</v>
      </c>
      <c r="BM68" s="8">
        <v>25</v>
      </c>
      <c r="BP68" s="8" t="s">
        <v>73</v>
      </c>
      <c r="BQ68" s="6">
        <f t="shared" si="1293"/>
        <v>744</v>
      </c>
      <c r="BR68" s="8">
        <v>596</v>
      </c>
      <c r="BS68" s="17">
        <f t="shared" si="1294"/>
        <v>148</v>
      </c>
      <c r="BT68" s="8">
        <v>0</v>
      </c>
      <c r="BU68" s="6">
        <f t="shared" si="1295"/>
        <v>0</v>
      </c>
      <c r="BV68" s="8">
        <v>0</v>
      </c>
      <c r="BW68" s="6">
        <f t="shared" si="1295"/>
        <v>0</v>
      </c>
      <c r="BX68" s="6">
        <v>0</v>
      </c>
      <c r="BY68" s="6">
        <f t="shared" ref="BY68" si="1385">(BX68/$BP$4)</f>
        <v>0</v>
      </c>
      <c r="BZ68" s="8">
        <v>0</v>
      </c>
      <c r="CA68" s="69">
        <f t="shared" si="1297"/>
        <v>1</v>
      </c>
      <c r="CB68" s="69">
        <f t="shared" si="1298"/>
        <v>1</v>
      </c>
      <c r="CC68" s="149">
        <f t="shared" si="1299"/>
        <v>0</v>
      </c>
      <c r="CD68" s="149">
        <f t="shared" si="1300"/>
        <v>0</v>
      </c>
      <c r="CE68" s="69">
        <f t="shared" si="1301"/>
        <v>0.801983440860215</v>
      </c>
      <c r="CF68" s="69"/>
      <c r="CG68" s="42">
        <f t="shared" si="1302"/>
        <v>744</v>
      </c>
      <c r="CH68" s="43">
        <v>14916.892</v>
      </c>
      <c r="CI68" s="8">
        <v>25</v>
      </c>
      <c r="CL68" s="8" t="s">
        <v>73</v>
      </c>
      <c r="CM68" s="6">
        <f t="shared" si="1303"/>
        <v>409.36</v>
      </c>
      <c r="CN68" s="6">
        <v>322.10000000000002</v>
      </c>
      <c r="CO68" s="6">
        <v>87.259999999999991</v>
      </c>
      <c r="CP68" s="8">
        <v>310.64</v>
      </c>
      <c r="CQ68" s="6">
        <f t="shared" si="1304"/>
        <v>0.43144444444444441</v>
      </c>
      <c r="CR68" s="8">
        <v>0</v>
      </c>
      <c r="CS68" s="6">
        <f t="shared" si="1305"/>
        <v>0</v>
      </c>
      <c r="CT68" s="6">
        <v>0</v>
      </c>
      <c r="CU68" s="6">
        <f t="shared" si="1306"/>
        <v>0</v>
      </c>
      <c r="CV68" s="8">
        <v>0</v>
      </c>
      <c r="CW68" s="69">
        <f t="shared" ref="CW68:CW78" si="1386">(CM68/$CL$4)</f>
        <v>0.56855555555555559</v>
      </c>
      <c r="CX68" s="69">
        <f t="shared" ref="CX68:CX78" si="1387">((CM68-CV68)/$CL$4)</f>
        <v>0.56855555555555559</v>
      </c>
      <c r="CY68" s="149">
        <f t="shared" ref="CY68:CY78" si="1388">IF((AND(CN68=0,CP68=0)),0,(CP68+CV68)/(CN68+CP68+CV68))</f>
        <v>0.4909441476751904</v>
      </c>
      <c r="CZ68" s="149">
        <f t="shared" ref="CZ68:CZ78" si="1389">CV68/$CL$4</f>
        <v>0</v>
      </c>
      <c r="DA68" s="69">
        <f t="shared" ref="DA68:DA78" si="1390">(DD68/($CL$4*DE68))</f>
        <v>0.46316777777777779</v>
      </c>
      <c r="DB68" s="6"/>
      <c r="DC68" s="6">
        <f t="shared" si="1312"/>
        <v>720</v>
      </c>
      <c r="DD68" s="43">
        <v>8337.02</v>
      </c>
      <c r="DE68" s="8">
        <v>25</v>
      </c>
      <c r="DF68" s="6"/>
      <c r="DH68" s="8" t="s">
        <v>73</v>
      </c>
      <c r="DI68" s="6">
        <f t="shared" si="1313"/>
        <v>0</v>
      </c>
      <c r="DJ68" s="8">
        <v>0</v>
      </c>
      <c r="DK68" s="8">
        <v>0</v>
      </c>
      <c r="DL68" s="8">
        <v>744</v>
      </c>
      <c r="DM68" s="69">
        <f t="shared" si="1266"/>
        <v>1</v>
      </c>
      <c r="DN68" s="8">
        <v>0</v>
      </c>
      <c r="DO68" s="69">
        <f t="shared" si="1267"/>
        <v>0</v>
      </c>
      <c r="DP68" s="91">
        <v>0</v>
      </c>
      <c r="DQ68" s="69">
        <f t="shared" si="1268"/>
        <v>0</v>
      </c>
      <c r="DR68" s="8">
        <v>0</v>
      </c>
      <c r="DS68" s="69">
        <f t="shared" ref="DS68:DS71" si="1391">(DI68/$X$4)</f>
        <v>0</v>
      </c>
      <c r="DT68" s="69">
        <f t="shared" ref="DT68:DT71" si="1392">((DI68-DR68)/$DH$4)</f>
        <v>0</v>
      </c>
      <c r="DU68" s="149">
        <f t="shared" ref="DU68:DU71" si="1393">IF((AND(DJ68=0,DL68=0)),0,(DL68+DR68)/(DJ68+DL68+DR68))</f>
        <v>1</v>
      </c>
      <c r="DV68" s="149">
        <f t="shared" ref="DV68:DV71" si="1394">DR68/$DH$4</f>
        <v>0</v>
      </c>
      <c r="DW68" s="69">
        <f t="shared" ref="DW68:DW71" si="1395">(DZ68/($DH$4*EA68))</f>
        <v>0</v>
      </c>
      <c r="DX68" s="69"/>
      <c r="DY68" s="15">
        <f t="shared" si="1319"/>
        <v>744</v>
      </c>
      <c r="DZ68" s="8">
        <v>0</v>
      </c>
      <c r="EA68" s="8">
        <v>25</v>
      </c>
      <c r="ED68" s="8" t="s">
        <v>73</v>
      </c>
      <c r="EE68" s="6">
        <f t="shared" si="1320"/>
        <v>0</v>
      </c>
      <c r="EF68" s="8">
        <v>0</v>
      </c>
      <c r="EG68" s="8">
        <v>0</v>
      </c>
      <c r="EH68" s="8">
        <v>744</v>
      </c>
      <c r="EI68" s="6">
        <f t="shared" si="1321"/>
        <v>1</v>
      </c>
      <c r="EJ68" s="8">
        <v>0</v>
      </c>
      <c r="EK68" s="6">
        <f t="shared" si="1322"/>
        <v>0</v>
      </c>
      <c r="EL68" s="6">
        <v>0</v>
      </c>
      <c r="EM68" s="6">
        <f t="shared" si="1323"/>
        <v>0</v>
      </c>
      <c r="EN68" s="8">
        <v>0</v>
      </c>
      <c r="EO68" s="69">
        <f t="shared" si="1324"/>
        <v>0</v>
      </c>
      <c r="EP68" s="69">
        <f t="shared" si="1325"/>
        <v>0</v>
      </c>
      <c r="EQ68" s="149">
        <f t="shared" si="1326"/>
        <v>1</v>
      </c>
      <c r="ER68" s="149"/>
      <c r="ES68" s="69">
        <f t="shared" si="1327"/>
        <v>0</v>
      </c>
      <c r="ET68" s="6"/>
      <c r="EU68" s="6">
        <f t="shared" si="1328"/>
        <v>744</v>
      </c>
      <c r="EV68" s="8">
        <v>0</v>
      </c>
      <c r="EW68" s="8">
        <v>25</v>
      </c>
      <c r="EZ68" s="8" t="s">
        <v>73</v>
      </c>
      <c r="FA68" s="6">
        <f t="shared" si="1329"/>
        <v>0</v>
      </c>
      <c r="FB68" s="8">
        <v>0</v>
      </c>
      <c r="FC68" s="8">
        <v>0</v>
      </c>
      <c r="FD68" s="8">
        <v>672</v>
      </c>
      <c r="FE68" s="6">
        <f t="shared" si="1330"/>
        <v>1</v>
      </c>
      <c r="FF68" s="8">
        <v>0</v>
      </c>
      <c r="FG68" s="6">
        <f t="shared" si="1331"/>
        <v>0</v>
      </c>
      <c r="FH68" s="6">
        <v>0</v>
      </c>
      <c r="FI68" s="6">
        <f t="shared" si="1332"/>
        <v>0</v>
      </c>
      <c r="FJ68" s="8">
        <v>0</v>
      </c>
      <c r="FK68" s="69">
        <f t="shared" si="1333"/>
        <v>0</v>
      </c>
      <c r="FL68" s="69">
        <f t="shared" si="1334"/>
        <v>0</v>
      </c>
      <c r="FM68" s="149">
        <f t="shared" si="1335"/>
        <v>1</v>
      </c>
      <c r="FN68" s="149">
        <f t="shared" si="1336"/>
        <v>0</v>
      </c>
      <c r="FO68" s="69">
        <f t="shared" si="1337"/>
        <v>0</v>
      </c>
      <c r="FP68" s="6"/>
      <c r="FQ68" s="6">
        <f t="shared" si="1338"/>
        <v>672</v>
      </c>
      <c r="FR68" s="8">
        <v>0</v>
      </c>
      <c r="FS68" s="8">
        <v>25</v>
      </c>
      <c r="FV68" s="8" t="s">
        <v>73</v>
      </c>
      <c r="FW68" s="15">
        <f t="shared" si="1339"/>
        <v>0</v>
      </c>
      <c r="FX68" s="8">
        <v>0</v>
      </c>
      <c r="FY68" s="8">
        <v>0</v>
      </c>
      <c r="FZ68" s="8">
        <v>744</v>
      </c>
      <c r="GA68" s="69">
        <f t="shared" si="1340"/>
        <v>1</v>
      </c>
      <c r="GB68" s="8">
        <v>0</v>
      </c>
      <c r="GC68" s="69">
        <f t="shared" si="1341"/>
        <v>0</v>
      </c>
      <c r="GD68" s="6">
        <v>0</v>
      </c>
      <c r="GE68" s="69">
        <f t="shared" si="1342"/>
        <v>0</v>
      </c>
      <c r="GF68" s="8">
        <v>0</v>
      </c>
      <c r="GG68" s="69">
        <f t="shared" si="1343"/>
        <v>0</v>
      </c>
      <c r="GH68" s="69">
        <f t="shared" si="1344"/>
        <v>0</v>
      </c>
      <c r="GI68" s="149">
        <f t="shared" si="1345"/>
        <v>1</v>
      </c>
      <c r="GJ68" s="149">
        <f t="shared" si="1346"/>
        <v>0</v>
      </c>
      <c r="GK68" s="69">
        <f t="shared" si="1347"/>
        <v>0</v>
      </c>
      <c r="GL68" s="69"/>
      <c r="GM68" s="6">
        <f t="shared" si="1348"/>
        <v>744</v>
      </c>
      <c r="GN68" s="8">
        <v>0</v>
      </c>
      <c r="GO68" s="8">
        <v>25</v>
      </c>
      <c r="GR68" s="8" t="s">
        <v>73</v>
      </c>
      <c r="GS68" s="6">
        <f t="shared" si="1349"/>
        <v>0</v>
      </c>
      <c r="GT68" s="8">
        <v>0</v>
      </c>
      <c r="GU68" s="8">
        <v>0</v>
      </c>
      <c r="GV68" s="8">
        <v>720</v>
      </c>
      <c r="GW68" s="6">
        <f t="shared" si="1350"/>
        <v>1</v>
      </c>
      <c r="GX68" s="8">
        <v>0</v>
      </c>
      <c r="GY68" s="6">
        <f t="shared" si="1351"/>
        <v>0</v>
      </c>
      <c r="GZ68" s="6">
        <v>0</v>
      </c>
      <c r="HA68" s="6">
        <f t="shared" si="1352"/>
        <v>0</v>
      </c>
      <c r="HB68" s="8">
        <v>0</v>
      </c>
      <c r="HC68" s="69">
        <f t="shared" si="1353"/>
        <v>0</v>
      </c>
      <c r="HD68" s="69">
        <f t="shared" si="1354"/>
        <v>0</v>
      </c>
      <c r="HE68" s="149">
        <f t="shared" si="1355"/>
        <v>1</v>
      </c>
      <c r="HF68" s="149">
        <f t="shared" si="1356"/>
        <v>0</v>
      </c>
      <c r="HG68" s="69">
        <f t="shared" si="1357"/>
        <v>0</v>
      </c>
      <c r="HH68" s="15">
        <v>0</v>
      </c>
      <c r="HI68" s="6">
        <f t="shared" si="1358"/>
        <v>720</v>
      </c>
      <c r="HJ68" s="8">
        <v>0</v>
      </c>
      <c r="HK68" s="8">
        <v>25</v>
      </c>
      <c r="HN68" s="8" t="s">
        <v>73</v>
      </c>
      <c r="HO68" s="8">
        <f t="shared" si="1359"/>
        <v>0</v>
      </c>
      <c r="HP68" s="8">
        <v>0</v>
      </c>
      <c r="HQ68" s="52">
        <v>0</v>
      </c>
      <c r="HR68" s="8">
        <v>744</v>
      </c>
      <c r="HS68" s="6">
        <f t="shared" si="1360"/>
        <v>1</v>
      </c>
      <c r="HT68" s="8">
        <v>0</v>
      </c>
      <c r="HU68" s="6">
        <f t="shared" si="1361"/>
        <v>0</v>
      </c>
      <c r="HV68" s="8">
        <v>0</v>
      </c>
      <c r="HW68" s="6">
        <f t="shared" si="1362"/>
        <v>0</v>
      </c>
      <c r="HX68" s="8">
        <v>0</v>
      </c>
      <c r="HY68" s="69">
        <f t="shared" si="1363"/>
        <v>0</v>
      </c>
      <c r="HZ68" s="69">
        <f t="shared" si="1364"/>
        <v>0</v>
      </c>
      <c r="IA68" s="69">
        <f t="shared" si="1365"/>
        <v>1</v>
      </c>
      <c r="IB68" s="149">
        <f t="shared" si="1366"/>
        <v>0</v>
      </c>
      <c r="IC68" s="69">
        <f t="shared" si="1367"/>
        <v>0</v>
      </c>
      <c r="ID68" s="15">
        <v>0</v>
      </c>
      <c r="IE68" s="6">
        <f t="shared" si="1368"/>
        <v>744</v>
      </c>
      <c r="IF68" s="8">
        <v>0</v>
      </c>
      <c r="IG68" s="8">
        <v>25</v>
      </c>
      <c r="IJ68" s="8" t="s">
        <v>73</v>
      </c>
      <c r="IK68" s="49">
        <f t="shared" si="1369"/>
        <v>0</v>
      </c>
      <c r="IL68" s="49">
        <v>0</v>
      </c>
      <c r="IM68" s="8">
        <v>0</v>
      </c>
      <c r="IN68" s="49">
        <v>720</v>
      </c>
      <c r="IO68" s="69">
        <f t="shared" si="1370"/>
        <v>1</v>
      </c>
      <c r="IP68" s="8">
        <v>0</v>
      </c>
      <c r="IQ68" s="69">
        <f t="shared" si="1371"/>
        <v>0</v>
      </c>
      <c r="IR68" s="6">
        <v>0</v>
      </c>
      <c r="IS68" s="69">
        <f t="shared" si="1371"/>
        <v>0</v>
      </c>
      <c r="IT68" s="8">
        <v>0</v>
      </c>
      <c r="IU68" s="69">
        <f t="shared" si="1372"/>
        <v>0</v>
      </c>
      <c r="IV68" s="69">
        <f t="shared" si="1373"/>
        <v>0</v>
      </c>
      <c r="IW68" s="164">
        <f t="shared" si="1379"/>
        <v>1</v>
      </c>
      <c r="IX68" s="149">
        <f t="shared" si="1374"/>
        <v>0</v>
      </c>
      <c r="IY68" s="69">
        <f t="shared" si="1269"/>
        <v>0</v>
      </c>
      <c r="IZ68" s="15">
        <v>0</v>
      </c>
      <c r="JA68" s="15">
        <f t="shared" si="1375"/>
        <v>720</v>
      </c>
      <c r="JB68" s="94">
        <v>0</v>
      </c>
      <c r="JC68" s="8">
        <v>25</v>
      </c>
      <c r="JE68" s="6"/>
    </row>
    <row r="69" spans="1:265" ht="14.25" x14ac:dyDescent="0.2">
      <c r="B69" s="8" t="s">
        <v>74</v>
      </c>
      <c r="C69" s="8">
        <f t="shared" si="1270"/>
        <v>744</v>
      </c>
      <c r="D69" s="8">
        <v>579</v>
      </c>
      <c r="E69" s="8">
        <v>165</v>
      </c>
      <c r="F69" s="8">
        <v>0</v>
      </c>
      <c r="G69" s="6">
        <f t="shared" si="1271"/>
        <v>0</v>
      </c>
      <c r="H69" s="8">
        <v>0</v>
      </c>
      <c r="I69" s="6">
        <f t="shared" si="1376"/>
        <v>0</v>
      </c>
      <c r="J69" s="8">
        <v>0</v>
      </c>
      <c r="K69" s="6">
        <f t="shared" si="1272"/>
        <v>0</v>
      </c>
      <c r="L69" s="8">
        <v>0</v>
      </c>
      <c r="M69" s="69">
        <f t="shared" si="1261"/>
        <v>1</v>
      </c>
      <c r="N69" s="69">
        <f t="shared" si="1262"/>
        <v>1</v>
      </c>
      <c r="O69" s="69">
        <f t="shared" si="1263"/>
        <v>0</v>
      </c>
      <c r="P69" s="149">
        <f t="shared" si="1264"/>
        <v>0</v>
      </c>
      <c r="Q69" s="69">
        <f t="shared" si="1265"/>
        <v>0.78538118279569891</v>
      </c>
      <c r="R69" s="15">
        <v>0</v>
      </c>
      <c r="S69" s="6">
        <f t="shared" si="1273"/>
        <v>744</v>
      </c>
      <c r="T69" s="85">
        <v>14608.09</v>
      </c>
      <c r="U69" s="8">
        <v>25</v>
      </c>
      <c r="X69" s="8" t="s">
        <v>74</v>
      </c>
      <c r="Y69" s="8">
        <f t="shared" si="1274"/>
        <v>744</v>
      </c>
      <c r="Z69" s="8">
        <v>571</v>
      </c>
      <c r="AA69" s="8">
        <v>173</v>
      </c>
      <c r="AB69" s="8">
        <v>0</v>
      </c>
      <c r="AC69" s="8">
        <f t="shared" si="1275"/>
        <v>0</v>
      </c>
      <c r="AD69" s="8">
        <v>0</v>
      </c>
      <c r="AE69" s="8">
        <f t="shared" si="1276"/>
        <v>0</v>
      </c>
      <c r="AF69" s="8">
        <v>0</v>
      </c>
      <c r="AG69" s="8">
        <f t="shared" si="1276"/>
        <v>0</v>
      </c>
      <c r="AH69" s="8">
        <v>0</v>
      </c>
      <c r="AI69" s="69">
        <f t="shared" si="1277"/>
        <v>1</v>
      </c>
      <c r="AJ69" s="69">
        <f t="shared" si="1278"/>
        <v>1</v>
      </c>
      <c r="AK69" s="69">
        <f t="shared" si="1279"/>
        <v>0</v>
      </c>
      <c r="AL69" s="149">
        <f t="shared" si="1280"/>
        <v>0</v>
      </c>
      <c r="AM69" s="69">
        <f t="shared" si="1281"/>
        <v>0.77112268817204299</v>
      </c>
      <c r="AN69" s="15">
        <v>0</v>
      </c>
      <c r="AO69" s="6">
        <f t="shared" si="1282"/>
        <v>744</v>
      </c>
      <c r="AP69" s="85">
        <v>14342.882</v>
      </c>
      <c r="AQ69" s="8">
        <v>25</v>
      </c>
      <c r="AT69" s="8" t="s">
        <v>74</v>
      </c>
      <c r="AU69" s="8">
        <f t="shared" si="1283"/>
        <v>720</v>
      </c>
      <c r="AV69" s="8">
        <v>643</v>
      </c>
      <c r="AW69" s="17">
        <f t="shared" si="1284"/>
        <v>77</v>
      </c>
      <c r="AX69" s="8">
        <v>0</v>
      </c>
      <c r="AY69" s="6">
        <f t="shared" ref="AY69:BA78" si="1396">(AX69/$AT$4)</f>
        <v>0</v>
      </c>
      <c r="AZ69" s="8">
        <v>0</v>
      </c>
      <c r="BA69" s="6">
        <f t="shared" si="1396"/>
        <v>0</v>
      </c>
      <c r="BB69" s="8">
        <v>0</v>
      </c>
      <c r="BC69" s="6">
        <f t="shared" ref="BC69" si="1397">(BB69/$AT$4)</f>
        <v>0</v>
      </c>
      <c r="BD69" s="8">
        <v>0</v>
      </c>
      <c r="BE69" s="69">
        <f t="shared" si="1380"/>
        <v>1</v>
      </c>
      <c r="BF69" s="69">
        <f t="shared" si="1381"/>
        <v>1</v>
      </c>
      <c r="BG69" s="69">
        <f t="shared" si="1382"/>
        <v>0</v>
      </c>
      <c r="BH69" s="149">
        <f t="shared" si="1383"/>
        <v>0</v>
      </c>
      <c r="BI69" s="69">
        <f t="shared" si="1384"/>
        <v>0.90567355555555551</v>
      </c>
      <c r="BJ69" s="6"/>
      <c r="BK69" s="6">
        <f t="shared" si="1292"/>
        <v>720</v>
      </c>
      <c r="BL69" s="93">
        <v>16302.124</v>
      </c>
      <c r="BM69" s="8">
        <v>25</v>
      </c>
      <c r="BP69" s="8" t="s">
        <v>74</v>
      </c>
      <c r="BQ69" s="6">
        <f t="shared" si="1293"/>
        <v>744</v>
      </c>
      <c r="BR69" s="8">
        <v>489</v>
      </c>
      <c r="BS69" s="17">
        <f t="shared" si="1294"/>
        <v>255</v>
      </c>
      <c r="BT69" s="8">
        <v>0</v>
      </c>
      <c r="BU69" s="6">
        <f t="shared" si="1295"/>
        <v>0</v>
      </c>
      <c r="BV69" s="8">
        <v>0</v>
      </c>
      <c r="BW69" s="6">
        <f t="shared" si="1295"/>
        <v>0</v>
      </c>
      <c r="BX69" s="6">
        <v>0</v>
      </c>
      <c r="BY69" s="6">
        <f t="shared" ref="BY69" si="1398">(BX69/$BP$4)</f>
        <v>0</v>
      </c>
      <c r="BZ69" s="8">
        <v>0</v>
      </c>
      <c r="CA69" s="69">
        <f t="shared" ref="CA69:CA78" si="1399">(BQ69/$BP$4)</f>
        <v>1</v>
      </c>
      <c r="CB69" s="69">
        <f t="shared" ref="CB69:CB78" si="1400">((BQ69-BZ69)/$BP$4)</f>
        <v>1</v>
      </c>
      <c r="CC69" s="149">
        <f t="shared" ref="CC69:CC78" si="1401">IF((AND(BR69=0,BT69=0)),0,(BT69+BZ69)/(BR69+BT69+BZ69))</f>
        <v>0</v>
      </c>
      <c r="CD69" s="149">
        <f t="shared" ref="CD69:CD78" si="1402">BZ69/$BP$4</f>
        <v>0</v>
      </c>
      <c r="CE69" s="69">
        <f t="shared" ref="CE69:CE78" si="1403">(CH69/($BP$4*CI69))</f>
        <v>0.66570870967741935</v>
      </c>
      <c r="CF69" s="69"/>
      <c r="CG69" s="42">
        <f t="shared" si="1302"/>
        <v>744</v>
      </c>
      <c r="CH69" s="43">
        <v>12382.182000000001</v>
      </c>
      <c r="CI69" s="8">
        <v>25</v>
      </c>
      <c r="CL69" s="8" t="s">
        <v>74</v>
      </c>
      <c r="CM69" s="6">
        <f t="shared" si="1303"/>
        <v>662.05</v>
      </c>
      <c r="CN69" s="6">
        <v>492.14</v>
      </c>
      <c r="CO69" s="6">
        <v>169.90999999999997</v>
      </c>
      <c r="CP69" s="8">
        <v>57.95</v>
      </c>
      <c r="CQ69" s="6">
        <f t="shared" si="1304"/>
        <v>8.0486111111111119E-2</v>
      </c>
      <c r="CR69" s="8">
        <v>0</v>
      </c>
      <c r="CS69" s="6">
        <f t="shared" si="1305"/>
        <v>0</v>
      </c>
      <c r="CT69" s="6">
        <v>0</v>
      </c>
      <c r="CU69" s="6">
        <f t="shared" si="1306"/>
        <v>0</v>
      </c>
      <c r="CV69" s="8">
        <v>0</v>
      </c>
      <c r="CW69" s="69">
        <f t="shared" si="1386"/>
        <v>0.91951388888888885</v>
      </c>
      <c r="CX69" s="69">
        <f t="shared" si="1387"/>
        <v>0.91951388888888885</v>
      </c>
      <c r="CY69" s="149">
        <f t="shared" si="1388"/>
        <v>0.10534639786216801</v>
      </c>
      <c r="CZ69" s="149">
        <f t="shared" si="1389"/>
        <v>0</v>
      </c>
      <c r="DA69" s="69">
        <f t="shared" si="1390"/>
        <v>0.70124333333333333</v>
      </c>
      <c r="DB69" s="6"/>
      <c r="DC69" s="6">
        <f t="shared" si="1312"/>
        <v>720</v>
      </c>
      <c r="DD69" s="43">
        <v>12622.38</v>
      </c>
      <c r="DE69" s="8">
        <v>25</v>
      </c>
      <c r="DF69" s="6"/>
      <c r="DH69" s="8" t="s">
        <v>74</v>
      </c>
      <c r="DI69" s="6">
        <f t="shared" si="1313"/>
        <v>659.73</v>
      </c>
      <c r="DJ69" s="8">
        <v>542.52</v>
      </c>
      <c r="DK69" s="8">
        <v>117.21000000000004</v>
      </c>
      <c r="DL69" s="8">
        <v>21.49</v>
      </c>
      <c r="DM69" s="69">
        <f t="shared" si="1266"/>
        <v>2.8884408602150535E-2</v>
      </c>
      <c r="DN69" s="8">
        <v>0</v>
      </c>
      <c r="DO69" s="69">
        <f t="shared" si="1267"/>
        <v>0</v>
      </c>
      <c r="DP69" s="91">
        <v>62.78</v>
      </c>
      <c r="DQ69" s="69">
        <f t="shared" si="1268"/>
        <v>8.4381720430107526E-2</v>
      </c>
      <c r="DR69" s="8">
        <v>0</v>
      </c>
      <c r="DS69" s="69">
        <f t="shared" si="1391"/>
        <v>0.88673387096774192</v>
      </c>
      <c r="DT69" s="69">
        <f t="shared" si="1392"/>
        <v>0.88673387096774192</v>
      </c>
      <c r="DU69" s="149">
        <f t="shared" si="1393"/>
        <v>3.8102161309196643E-2</v>
      </c>
      <c r="DV69" s="149">
        <f t="shared" si="1394"/>
        <v>0</v>
      </c>
      <c r="DW69" s="69">
        <f t="shared" si="1395"/>
        <v>0.7598177419354839</v>
      </c>
      <c r="DX69" s="69"/>
      <c r="DY69" s="15">
        <f t="shared" si="1319"/>
        <v>744</v>
      </c>
      <c r="DZ69" s="43">
        <v>14132.61</v>
      </c>
      <c r="EA69" s="8">
        <v>25</v>
      </c>
      <c r="ED69" s="8" t="s">
        <v>74</v>
      </c>
      <c r="EE69" s="6">
        <f t="shared" si="1320"/>
        <v>670.90000000000009</v>
      </c>
      <c r="EF69" s="8">
        <v>432.32</v>
      </c>
      <c r="EG69" s="8">
        <v>238.58</v>
      </c>
      <c r="EH69" s="8">
        <v>44.81</v>
      </c>
      <c r="EI69" s="6">
        <f t="shared" si="1321"/>
        <v>6.0228494623655919E-2</v>
      </c>
      <c r="EJ69" s="8">
        <v>28.29</v>
      </c>
      <c r="EK69" s="6">
        <f t="shared" si="1322"/>
        <v>3.8024193548387097E-2</v>
      </c>
      <c r="EL69" s="6">
        <v>0</v>
      </c>
      <c r="EM69" s="6">
        <f t="shared" si="1323"/>
        <v>0</v>
      </c>
      <c r="EN69" s="8">
        <v>0</v>
      </c>
      <c r="EO69" s="69">
        <f t="shared" si="1324"/>
        <v>0.90174731182795709</v>
      </c>
      <c r="EP69" s="69">
        <f t="shared" si="1325"/>
        <v>0.90174731182795709</v>
      </c>
      <c r="EQ69" s="149">
        <f t="shared" si="1326"/>
        <v>9.3915704315385748E-2</v>
      </c>
      <c r="ER69" s="149"/>
      <c r="ES69" s="69">
        <f t="shared" si="1327"/>
        <v>0.64978919354838705</v>
      </c>
      <c r="ET69" s="6"/>
      <c r="EU69" s="6">
        <f t="shared" si="1328"/>
        <v>744</v>
      </c>
      <c r="EV69" s="85">
        <v>12086.079</v>
      </c>
      <c r="EW69" s="8">
        <v>25</v>
      </c>
      <c r="EZ69" s="8" t="s">
        <v>74</v>
      </c>
      <c r="FA69" s="6">
        <f t="shared" si="1329"/>
        <v>669.38</v>
      </c>
      <c r="FB69" s="8">
        <v>389.37</v>
      </c>
      <c r="FC69" s="8">
        <v>280.01</v>
      </c>
      <c r="FD69" s="8">
        <v>2.62</v>
      </c>
      <c r="FE69" s="6">
        <f t="shared" si="1330"/>
        <v>3.898809523809524E-3</v>
      </c>
      <c r="FF69" s="8">
        <v>0</v>
      </c>
      <c r="FG69" s="6">
        <f t="shared" si="1331"/>
        <v>0</v>
      </c>
      <c r="FH69" s="6">
        <v>0</v>
      </c>
      <c r="FI69" s="6">
        <f t="shared" si="1332"/>
        <v>0</v>
      </c>
      <c r="FJ69" s="8">
        <v>0</v>
      </c>
      <c r="FK69" s="69">
        <f t="shared" si="1333"/>
        <v>0.89970430107526878</v>
      </c>
      <c r="FL69" s="69">
        <f t="shared" si="1334"/>
        <v>0.9961011904761905</v>
      </c>
      <c r="FM69" s="149">
        <f t="shared" si="1335"/>
        <v>6.6838439756116228E-3</v>
      </c>
      <c r="FN69" s="149">
        <f t="shared" si="1336"/>
        <v>0</v>
      </c>
      <c r="FO69" s="69">
        <f t="shared" si="1337"/>
        <v>0.60326815476190476</v>
      </c>
      <c r="FP69" s="6"/>
      <c r="FQ69" s="6">
        <f t="shared" si="1338"/>
        <v>672</v>
      </c>
      <c r="FR69" s="43">
        <v>10134.905000000001</v>
      </c>
      <c r="FS69" s="8">
        <v>25</v>
      </c>
      <c r="FV69" s="8" t="s">
        <v>74</v>
      </c>
      <c r="FW69" s="6">
        <f t="shared" si="1339"/>
        <v>696.06</v>
      </c>
      <c r="FX69" s="8">
        <v>550.78</v>
      </c>
      <c r="FY69" s="8">
        <v>145.28</v>
      </c>
      <c r="FZ69" s="8">
        <v>47.94</v>
      </c>
      <c r="GA69" s="69">
        <f t="shared" si="1340"/>
        <v>6.4435483870967744E-2</v>
      </c>
      <c r="GB69" s="8">
        <v>0</v>
      </c>
      <c r="GC69" s="69">
        <f t="shared" si="1341"/>
        <v>0</v>
      </c>
      <c r="GD69" s="6">
        <v>0</v>
      </c>
      <c r="GE69" s="69">
        <f t="shared" si="1342"/>
        <v>0</v>
      </c>
      <c r="GF69" s="8">
        <v>0</v>
      </c>
      <c r="GG69" s="69">
        <f t="shared" si="1343"/>
        <v>0.93556451612903213</v>
      </c>
      <c r="GH69" s="69">
        <f t="shared" si="1344"/>
        <v>0.93556451612903213</v>
      </c>
      <c r="GI69" s="149">
        <f t="shared" si="1345"/>
        <v>8.0070817744521641E-2</v>
      </c>
      <c r="GJ69" s="149">
        <f t="shared" si="1346"/>
        <v>0</v>
      </c>
      <c r="GK69" s="69">
        <f t="shared" si="1347"/>
        <v>0.71657177419354845</v>
      </c>
      <c r="GL69" s="69"/>
      <c r="GM69" s="6">
        <f t="shared" si="1348"/>
        <v>744</v>
      </c>
      <c r="GN69" s="43">
        <v>13328.235000000001</v>
      </c>
      <c r="GO69" s="8">
        <v>25</v>
      </c>
      <c r="GR69" s="8" t="s">
        <v>74</v>
      </c>
      <c r="GS69" s="6">
        <f t="shared" si="1349"/>
        <v>605.70000000000005</v>
      </c>
      <c r="GT69" s="8">
        <v>513.89</v>
      </c>
      <c r="GU69" s="8">
        <v>91.81</v>
      </c>
      <c r="GV69" s="8">
        <v>114.3</v>
      </c>
      <c r="GW69" s="6">
        <f t="shared" si="1350"/>
        <v>0.15875</v>
      </c>
      <c r="GX69" s="8">
        <v>0</v>
      </c>
      <c r="GY69" s="6">
        <f t="shared" si="1351"/>
        <v>0</v>
      </c>
      <c r="GZ69" s="6">
        <v>0</v>
      </c>
      <c r="HA69" s="6">
        <f t="shared" si="1352"/>
        <v>0</v>
      </c>
      <c r="HB69" s="8">
        <v>0</v>
      </c>
      <c r="HC69" s="69">
        <f t="shared" si="1353"/>
        <v>0.81411290322580654</v>
      </c>
      <c r="HD69" s="69">
        <f t="shared" si="1354"/>
        <v>0.84125000000000005</v>
      </c>
      <c r="HE69" s="149">
        <f t="shared" si="1355"/>
        <v>0.18195132046037027</v>
      </c>
      <c r="HF69" s="149">
        <f t="shared" si="1356"/>
        <v>0</v>
      </c>
      <c r="HG69" s="69">
        <f t="shared" si="1357"/>
        <v>0.66316888888888892</v>
      </c>
      <c r="HH69" s="15">
        <v>0</v>
      </c>
      <c r="HI69" s="6">
        <f t="shared" si="1358"/>
        <v>720</v>
      </c>
      <c r="HJ69" s="85">
        <v>11937.04</v>
      </c>
      <c r="HK69" s="8">
        <v>25</v>
      </c>
      <c r="HN69" s="8" t="s">
        <v>74</v>
      </c>
      <c r="HO69" s="8">
        <f t="shared" si="1359"/>
        <v>744</v>
      </c>
      <c r="HP69" s="8">
        <v>579.46</v>
      </c>
      <c r="HQ69" s="52">
        <v>164.54000000000099</v>
      </c>
      <c r="HR69" s="8">
        <v>0</v>
      </c>
      <c r="HS69" s="6">
        <f t="shared" si="1360"/>
        <v>0</v>
      </c>
      <c r="HT69" s="8">
        <v>0</v>
      </c>
      <c r="HU69" s="6">
        <f t="shared" si="1361"/>
        <v>0</v>
      </c>
      <c r="HV69" s="8">
        <v>0</v>
      </c>
      <c r="HW69" s="6">
        <f t="shared" si="1362"/>
        <v>0</v>
      </c>
      <c r="HX69" s="8">
        <v>0</v>
      </c>
      <c r="HY69" s="69">
        <f t="shared" si="1363"/>
        <v>1</v>
      </c>
      <c r="HZ69" s="69">
        <f t="shared" si="1364"/>
        <v>1</v>
      </c>
      <c r="IA69" s="69">
        <f t="shared" si="1365"/>
        <v>0</v>
      </c>
      <c r="IB69" s="149">
        <f t="shared" si="1366"/>
        <v>0</v>
      </c>
      <c r="IC69" s="69">
        <f t="shared" si="1367"/>
        <v>0.77799139784946236</v>
      </c>
      <c r="ID69" s="15">
        <v>0</v>
      </c>
      <c r="IE69" s="6">
        <f t="shared" si="1368"/>
        <v>744.00000000000102</v>
      </c>
      <c r="IF69" s="85">
        <v>14470.64</v>
      </c>
      <c r="IG69" s="8">
        <v>25</v>
      </c>
      <c r="IJ69" s="8" t="s">
        <v>74</v>
      </c>
      <c r="IK69" s="49">
        <f t="shared" si="1369"/>
        <v>720</v>
      </c>
      <c r="IL69" s="49">
        <v>566.45000000000005</v>
      </c>
      <c r="IM69" s="8">
        <v>153.54999999999995</v>
      </c>
      <c r="IN69" s="49">
        <v>0</v>
      </c>
      <c r="IO69" s="69">
        <f t="shared" si="1370"/>
        <v>0</v>
      </c>
      <c r="IP69" s="8">
        <v>0</v>
      </c>
      <c r="IQ69" s="69">
        <f t="shared" si="1371"/>
        <v>0</v>
      </c>
      <c r="IR69" s="6">
        <v>0</v>
      </c>
      <c r="IS69" s="69">
        <f t="shared" si="1371"/>
        <v>0</v>
      </c>
      <c r="IT69" s="8">
        <v>0</v>
      </c>
      <c r="IU69" s="69">
        <f t="shared" si="1372"/>
        <v>1</v>
      </c>
      <c r="IV69" s="69">
        <f t="shared" si="1373"/>
        <v>1</v>
      </c>
      <c r="IW69" s="164">
        <f t="shared" si="1379"/>
        <v>0</v>
      </c>
      <c r="IX69" s="149">
        <f t="shared" si="1374"/>
        <v>0</v>
      </c>
      <c r="IY69" s="69">
        <f t="shared" si="1269"/>
        <v>0.78517361111111106</v>
      </c>
      <c r="IZ69" s="15">
        <v>0</v>
      </c>
      <c r="JA69" s="15">
        <f t="shared" si="1375"/>
        <v>720</v>
      </c>
      <c r="JB69" s="92">
        <v>14133.125</v>
      </c>
      <c r="JC69" s="8">
        <v>25</v>
      </c>
      <c r="JE69" s="6"/>
    </row>
    <row r="70" spans="1:265" ht="14.25" x14ac:dyDescent="0.2">
      <c r="B70" s="8" t="s">
        <v>75</v>
      </c>
      <c r="C70" s="8">
        <f t="shared" si="1270"/>
        <v>744</v>
      </c>
      <c r="D70" s="8">
        <v>521</v>
      </c>
      <c r="E70" s="8">
        <v>223</v>
      </c>
      <c r="F70" s="8">
        <v>0</v>
      </c>
      <c r="G70" s="6">
        <f t="shared" si="1271"/>
        <v>0</v>
      </c>
      <c r="H70" s="8">
        <v>0</v>
      </c>
      <c r="I70" s="6">
        <f t="shared" si="1376"/>
        <v>0</v>
      </c>
      <c r="J70" s="8">
        <v>0</v>
      </c>
      <c r="K70" s="6">
        <f t="shared" si="1272"/>
        <v>0</v>
      </c>
      <c r="L70" s="8">
        <v>0</v>
      </c>
      <c r="M70" s="69">
        <f t="shared" si="1261"/>
        <v>1</v>
      </c>
      <c r="N70" s="69">
        <f t="shared" si="1262"/>
        <v>1</v>
      </c>
      <c r="O70" s="69">
        <f t="shared" si="1263"/>
        <v>0</v>
      </c>
      <c r="P70" s="149">
        <f t="shared" si="1264"/>
        <v>0</v>
      </c>
      <c r="Q70" s="69">
        <f t="shared" si="1265"/>
        <v>0.711039623655914</v>
      </c>
      <c r="R70" s="15">
        <v>0</v>
      </c>
      <c r="S70" s="6">
        <f t="shared" si="1273"/>
        <v>744</v>
      </c>
      <c r="T70" s="85">
        <v>13225.337</v>
      </c>
      <c r="U70" s="8">
        <v>25</v>
      </c>
      <c r="X70" s="8" t="s">
        <v>75</v>
      </c>
      <c r="Y70" s="8">
        <f t="shared" si="1274"/>
        <v>744</v>
      </c>
      <c r="Z70" s="8">
        <v>593</v>
      </c>
      <c r="AA70" s="8">
        <v>151</v>
      </c>
      <c r="AB70" s="8">
        <v>0</v>
      </c>
      <c r="AC70" s="8">
        <f t="shared" si="1275"/>
        <v>0</v>
      </c>
      <c r="AD70" s="8">
        <v>0</v>
      </c>
      <c r="AE70" s="8">
        <f t="shared" si="1276"/>
        <v>0</v>
      </c>
      <c r="AF70" s="8">
        <v>0</v>
      </c>
      <c r="AG70" s="8">
        <f t="shared" si="1276"/>
        <v>0</v>
      </c>
      <c r="AH70" s="8">
        <v>0</v>
      </c>
      <c r="AI70" s="69">
        <f t="shared" si="1277"/>
        <v>1</v>
      </c>
      <c r="AJ70" s="69">
        <f t="shared" si="1278"/>
        <v>1</v>
      </c>
      <c r="AK70" s="69">
        <f t="shared" si="1279"/>
        <v>0</v>
      </c>
      <c r="AL70" s="149">
        <f t="shared" si="1280"/>
        <v>0</v>
      </c>
      <c r="AM70" s="69">
        <f t="shared" si="1281"/>
        <v>0.80753822580645163</v>
      </c>
      <c r="AN70" s="15">
        <v>0</v>
      </c>
      <c r="AO70" s="6">
        <f t="shared" si="1282"/>
        <v>744</v>
      </c>
      <c r="AP70" s="85">
        <v>15020.210999999999</v>
      </c>
      <c r="AQ70" s="8">
        <v>25</v>
      </c>
      <c r="AT70" s="8" t="s">
        <v>75</v>
      </c>
      <c r="AU70" s="8">
        <f t="shared" si="1283"/>
        <v>720</v>
      </c>
      <c r="AV70" s="8">
        <v>632</v>
      </c>
      <c r="AW70" s="17">
        <f t="shared" si="1284"/>
        <v>88</v>
      </c>
      <c r="AX70" s="8">
        <v>0</v>
      </c>
      <c r="AY70" s="6">
        <f t="shared" si="1396"/>
        <v>0</v>
      </c>
      <c r="AZ70" s="8">
        <v>0</v>
      </c>
      <c r="BA70" s="6">
        <f t="shared" si="1396"/>
        <v>0</v>
      </c>
      <c r="BB70" s="8">
        <v>0</v>
      </c>
      <c r="BC70" s="6">
        <f t="shared" ref="BC70" si="1404">(BB70/$AT$4)</f>
        <v>0</v>
      </c>
      <c r="BD70" s="8">
        <v>0</v>
      </c>
      <c r="BE70" s="69">
        <f t="shared" si="1380"/>
        <v>1</v>
      </c>
      <c r="BF70" s="69">
        <f t="shared" si="1381"/>
        <v>1</v>
      </c>
      <c r="BG70" s="69">
        <f t="shared" si="1382"/>
        <v>0</v>
      </c>
      <c r="BH70" s="149">
        <f t="shared" si="1383"/>
        <v>0</v>
      </c>
      <c r="BI70" s="69">
        <f t="shared" si="1384"/>
        <v>0.87364961111111106</v>
      </c>
      <c r="BJ70" s="6"/>
      <c r="BK70" s="6">
        <f t="shared" si="1292"/>
        <v>720</v>
      </c>
      <c r="BL70" s="93">
        <v>15725.692999999999</v>
      </c>
      <c r="BM70" s="8">
        <v>25</v>
      </c>
      <c r="BP70" s="8" t="s">
        <v>75</v>
      </c>
      <c r="BQ70" s="6">
        <f t="shared" si="1293"/>
        <v>744</v>
      </c>
      <c r="BR70" s="8">
        <v>603</v>
      </c>
      <c r="BS70" s="17">
        <f t="shared" si="1294"/>
        <v>141</v>
      </c>
      <c r="BT70" s="8">
        <v>0</v>
      </c>
      <c r="BU70" s="6">
        <f t="shared" si="1295"/>
        <v>0</v>
      </c>
      <c r="BV70" s="8">
        <v>0</v>
      </c>
      <c r="BW70" s="6">
        <f t="shared" si="1295"/>
        <v>0</v>
      </c>
      <c r="BX70" s="6">
        <v>0</v>
      </c>
      <c r="BY70" s="6">
        <f t="shared" ref="BY70" si="1405">(BX70/$BP$4)</f>
        <v>0</v>
      </c>
      <c r="BZ70" s="8">
        <v>0</v>
      </c>
      <c r="CA70" s="69">
        <f t="shared" si="1399"/>
        <v>1</v>
      </c>
      <c r="CB70" s="69">
        <f t="shared" si="1400"/>
        <v>1</v>
      </c>
      <c r="CC70" s="149">
        <f t="shared" si="1401"/>
        <v>0</v>
      </c>
      <c r="CD70" s="149">
        <f t="shared" si="1402"/>
        <v>0</v>
      </c>
      <c r="CE70" s="69">
        <f t="shared" si="1403"/>
        <v>0.80940231182795697</v>
      </c>
      <c r="CF70" s="69"/>
      <c r="CG70" s="42">
        <f t="shared" si="1302"/>
        <v>744</v>
      </c>
      <c r="CH70" s="43">
        <v>15054.883</v>
      </c>
      <c r="CI70" s="8">
        <v>25</v>
      </c>
      <c r="CL70" s="8" t="s">
        <v>75</v>
      </c>
      <c r="CM70" s="6">
        <f t="shared" si="1303"/>
        <v>506.64</v>
      </c>
      <c r="CN70" s="6">
        <v>428.48</v>
      </c>
      <c r="CO70" s="6">
        <v>78.159999999999968</v>
      </c>
      <c r="CP70" s="8">
        <v>213.36</v>
      </c>
      <c r="CQ70" s="6">
        <f t="shared" si="1304"/>
        <v>0.29633333333333334</v>
      </c>
      <c r="CR70" s="8">
        <v>0</v>
      </c>
      <c r="CS70" s="6">
        <f t="shared" si="1305"/>
        <v>0</v>
      </c>
      <c r="CT70" s="6">
        <v>0</v>
      </c>
      <c r="CU70" s="6">
        <f t="shared" si="1306"/>
        <v>0</v>
      </c>
      <c r="CV70" s="8">
        <v>0</v>
      </c>
      <c r="CW70" s="69">
        <f t="shared" si="1386"/>
        <v>0.70366666666666666</v>
      </c>
      <c r="CX70" s="69">
        <f t="shared" si="1387"/>
        <v>0.70366666666666666</v>
      </c>
      <c r="CY70" s="149">
        <f t="shared" si="1388"/>
        <v>0.33241929452823132</v>
      </c>
      <c r="CZ70" s="149">
        <f t="shared" si="1389"/>
        <v>0</v>
      </c>
      <c r="DA70" s="69">
        <f t="shared" si="1390"/>
        <v>0.62015500000000001</v>
      </c>
      <c r="DB70" s="6"/>
      <c r="DC70" s="6">
        <f t="shared" si="1312"/>
        <v>720</v>
      </c>
      <c r="DD70" s="43">
        <v>11162.79</v>
      </c>
      <c r="DE70" s="8">
        <v>25</v>
      </c>
      <c r="DF70" s="6"/>
      <c r="DH70" s="8" t="s">
        <v>75</v>
      </c>
      <c r="DI70" s="6">
        <f t="shared" si="1313"/>
        <v>677.17</v>
      </c>
      <c r="DJ70" s="8">
        <v>533.91</v>
      </c>
      <c r="DK70" s="8">
        <v>143.26</v>
      </c>
      <c r="DL70" s="8">
        <v>0</v>
      </c>
      <c r="DM70" s="69">
        <f t="shared" si="1266"/>
        <v>0</v>
      </c>
      <c r="DN70" s="8">
        <v>0</v>
      </c>
      <c r="DO70" s="69">
        <f t="shared" si="1267"/>
        <v>0</v>
      </c>
      <c r="DP70" s="91">
        <v>66.83</v>
      </c>
      <c r="DQ70" s="69">
        <f t="shared" si="1268"/>
        <v>8.9825268817204304E-2</v>
      </c>
      <c r="DR70" s="8">
        <v>0</v>
      </c>
      <c r="DS70" s="69">
        <f t="shared" si="1391"/>
        <v>0.91017473118279568</v>
      </c>
      <c r="DT70" s="69">
        <f t="shared" si="1392"/>
        <v>0.91017473118279568</v>
      </c>
      <c r="DU70" s="149">
        <f t="shared" si="1393"/>
        <v>0</v>
      </c>
      <c r="DV70" s="149">
        <f t="shared" si="1394"/>
        <v>0</v>
      </c>
      <c r="DW70" s="69">
        <f t="shared" si="1395"/>
        <v>0.71924591397849458</v>
      </c>
      <c r="DX70" s="69"/>
      <c r="DY70" s="15">
        <f t="shared" si="1319"/>
        <v>744</v>
      </c>
      <c r="DZ70" s="43">
        <v>13377.974</v>
      </c>
      <c r="EA70" s="8">
        <v>25</v>
      </c>
      <c r="ED70" s="8" t="s">
        <v>75</v>
      </c>
      <c r="EE70" s="6">
        <f t="shared" si="1320"/>
        <v>693.3</v>
      </c>
      <c r="EF70" s="8">
        <v>440.26</v>
      </c>
      <c r="EG70" s="8">
        <v>253.04</v>
      </c>
      <c r="EH70" s="8">
        <v>23.7</v>
      </c>
      <c r="EI70" s="6">
        <f t="shared" si="1321"/>
        <v>3.1854838709677417E-2</v>
      </c>
      <c r="EJ70" s="8">
        <v>27</v>
      </c>
      <c r="EK70" s="6">
        <f t="shared" si="1322"/>
        <v>3.6290322580645164E-2</v>
      </c>
      <c r="EL70" s="6">
        <v>0</v>
      </c>
      <c r="EM70" s="6">
        <f t="shared" si="1323"/>
        <v>0</v>
      </c>
      <c r="EN70" s="8">
        <v>0</v>
      </c>
      <c r="EO70" s="69">
        <f t="shared" si="1324"/>
        <v>0.93185483870967734</v>
      </c>
      <c r="EP70" s="69">
        <f t="shared" si="1325"/>
        <v>0.93185483870967734</v>
      </c>
      <c r="EQ70" s="149">
        <f t="shared" si="1326"/>
        <v>5.1081989826709202E-2</v>
      </c>
      <c r="ER70" s="149"/>
      <c r="ES70" s="69">
        <f t="shared" si="1327"/>
        <v>0.66669870967741929</v>
      </c>
      <c r="ET70" s="6"/>
      <c r="EU70" s="6">
        <f t="shared" si="1328"/>
        <v>744</v>
      </c>
      <c r="EV70" s="85">
        <v>12400.596</v>
      </c>
      <c r="EW70" s="8">
        <v>25</v>
      </c>
      <c r="EZ70" s="8" t="s">
        <v>75</v>
      </c>
      <c r="FA70" s="6">
        <f>$EZ$4-FD70-FF70-FH70</f>
        <v>672</v>
      </c>
      <c r="FB70" s="8">
        <v>242.1</v>
      </c>
      <c r="FC70" s="8">
        <v>429.9</v>
      </c>
      <c r="FD70" s="8">
        <v>0</v>
      </c>
      <c r="FE70" s="6">
        <f t="shared" si="1330"/>
        <v>0</v>
      </c>
      <c r="FF70" s="8">
        <v>0</v>
      </c>
      <c r="FG70" s="6">
        <f t="shared" si="1331"/>
        <v>0</v>
      </c>
      <c r="FH70" s="6">
        <v>0</v>
      </c>
      <c r="FI70" s="6">
        <f t="shared" si="1332"/>
        <v>0</v>
      </c>
      <c r="FJ70" s="8">
        <v>0</v>
      </c>
      <c r="FK70" s="69">
        <f t="shared" si="1333"/>
        <v>0.90322580645161288</v>
      </c>
      <c r="FL70" s="69">
        <f t="shared" si="1334"/>
        <v>1</v>
      </c>
      <c r="FM70" s="149">
        <f t="shared" si="1335"/>
        <v>0</v>
      </c>
      <c r="FN70" s="149">
        <f t="shared" si="1336"/>
        <v>0</v>
      </c>
      <c r="FO70" s="69">
        <f t="shared" si="1337"/>
        <v>0.35409892857142855</v>
      </c>
      <c r="FP70" s="6"/>
      <c r="FQ70" s="6">
        <f t="shared" si="1338"/>
        <v>672</v>
      </c>
      <c r="FR70" s="43">
        <v>5948.8620000000001</v>
      </c>
      <c r="FS70" s="8">
        <v>25</v>
      </c>
      <c r="FV70" s="8" t="s">
        <v>75</v>
      </c>
      <c r="FW70" s="6">
        <f t="shared" si="1339"/>
        <v>735.45</v>
      </c>
      <c r="FX70" s="8">
        <v>547.04</v>
      </c>
      <c r="FY70" s="8">
        <v>188.41</v>
      </c>
      <c r="FZ70" s="8">
        <v>8.5500000000000007</v>
      </c>
      <c r="GA70" s="69">
        <f t="shared" si="1340"/>
        <v>1.1491935483870969E-2</v>
      </c>
      <c r="GB70" s="8">
        <v>0</v>
      </c>
      <c r="GC70" s="69">
        <f t="shared" si="1341"/>
        <v>0</v>
      </c>
      <c r="GD70" s="6">
        <v>0</v>
      </c>
      <c r="GE70" s="69">
        <f t="shared" si="1342"/>
        <v>0</v>
      </c>
      <c r="GF70" s="8">
        <v>0</v>
      </c>
      <c r="GG70" s="69">
        <f t="shared" si="1343"/>
        <v>0.98850806451612905</v>
      </c>
      <c r="GH70" s="69">
        <f t="shared" si="1344"/>
        <v>0.98850806451612905</v>
      </c>
      <c r="GI70" s="149">
        <f t="shared" si="1345"/>
        <v>1.5389045879155495E-2</v>
      </c>
      <c r="GJ70" s="149">
        <f t="shared" si="1346"/>
        <v>0</v>
      </c>
      <c r="GK70" s="69">
        <f t="shared" si="1347"/>
        <v>0.73438413978494621</v>
      </c>
      <c r="GL70" s="69"/>
      <c r="GM70" s="6">
        <f t="shared" si="1348"/>
        <v>743.99999999999989</v>
      </c>
      <c r="GN70" s="43">
        <v>13659.545</v>
      </c>
      <c r="GO70" s="8">
        <v>25</v>
      </c>
      <c r="GR70" s="8" t="s">
        <v>75</v>
      </c>
      <c r="GS70" s="6">
        <f>$GR$4-GV70-GX70-GZ70</f>
        <v>720</v>
      </c>
      <c r="GT70" s="8">
        <v>589.34</v>
      </c>
      <c r="GU70" s="8">
        <v>130.66</v>
      </c>
      <c r="GV70" s="8">
        <v>0</v>
      </c>
      <c r="GW70" s="6">
        <f t="shared" si="1350"/>
        <v>0</v>
      </c>
      <c r="GX70" s="8">
        <v>0</v>
      </c>
      <c r="GY70" s="6">
        <f t="shared" si="1351"/>
        <v>0</v>
      </c>
      <c r="GZ70" s="6">
        <v>0</v>
      </c>
      <c r="HA70" s="6">
        <f t="shared" si="1352"/>
        <v>0</v>
      </c>
      <c r="HB70" s="8">
        <v>0</v>
      </c>
      <c r="HC70" s="69">
        <f t="shared" si="1353"/>
        <v>0.967741935483871</v>
      </c>
      <c r="HD70" s="69">
        <f t="shared" si="1354"/>
        <v>1</v>
      </c>
      <c r="HE70" s="149">
        <f t="shared" si="1355"/>
        <v>0</v>
      </c>
      <c r="HF70" s="149">
        <f t="shared" si="1356"/>
        <v>0</v>
      </c>
      <c r="HG70" s="69">
        <f t="shared" si="1357"/>
        <v>0.86596722222222222</v>
      </c>
      <c r="HH70" s="15">
        <v>0</v>
      </c>
      <c r="HI70" s="6">
        <f t="shared" si="1358"/>
        <v>720</v>
      </c>
      <c r="HJ70" s="85">
        <v>15587.41</v>
      </c>
      <c r="HK70" s="8">
        <v>25</v>
      </c>
      <c r="HN70" s="8" t="s">
        <v>75</v>
      </c>
      <c r="HO70" s="8">
        <f t="shared" si="1359"/>
        <v>744</v>
      </c>
      <c r="HP70" s="8">
        <v>541.35</v>
      </c>
      <c r="HQ70" s="52">
        <v>202.65000000000089</v>
      </c>
      <c r="HR70" s="8">
        <v>0</v>
      </c>
      <c r="HS70" s="6">
        <f t="shared" si="1360"/>
        <v>0</v>
      </c>
      <c r="HT70" s="8">
        <v>0</v>
      </c>
      <c r="HU70" s="6">
        <f t="shared" si="1361"/>
        <v>0</v>
      </c>
      <c r="HV70" s="8">
        <v>0</v>
      </c>
      <c r="HW70" s="6">
        <f t="shared" si="1362"/>
        <v>0</v>
      </c>
      <c r="HX70" s="8">
        <v>0</v>
      </c>
      <c r="HY70" s="69">
        <f t="shared" si="1363"/>
        <v>1</v>
      </c>
      <c r="HZ70" s="69">
        <f t="shared" si="1364"/>
        <v>1</v>
      </c>
      <c r="IA70" s="69">
        <f t="shared" si="1365"/>
        <v>0</v>
      </c>
      <c r="IB70" s="149">
        <f t="shared" si="1366"/>
        <v>0</v>
      </c>
      <c r="IC70" s="69">
        <f t="shared" si="1367"/>
        <v>0.76489569892473119</v>
      </c>
      <c r="ID70" s="15">
        <v>0</v>
      </c>
      <c r="IE70" s="6">
        <f t="shared" si="1368"/>
        <v>744.00000000000091</v>
      </c>
      <c r="IF70" s="85">
        <v>14227.06</v>
      </c>
      <c r="IG70" s="8">
        <v>25</v>
      </c>
      <c r="IJ70" s="8" t="s">
        <v>75</v>
      </c>
      <c r="IK70" s="49">
        <f t="shared" si="1369"/>
        <v>720</v>
      </c>
      <c r="IL70" s="49">
        <v>579.07000000000005</v>
      </c>
      <c r="IM70" s="8">
        <v>140.92999999999995</v>
      </c>
      <c r="IN70" s="49">
        <v>0</v>
      </c>
      <c r="IO70" s="69">
        <f t="shared" si="1370"/>
        <v>0</v>
      </c>
      <c r="IP70" s="8">
        <v>0</v>
      </c>
      <c r="IQ70" s="69">
        <f t="shared" si="1371"/>
        <v>0</v>
      </c>
      <c r="IR70" s="6">
        <v>0</v>
      </c>
      <c r="IS70" s="69">
        <f t="shared" si="1371"/>
        <v>0</v>
      </c>
      <c r="IT70" s="8">
        <v>0</v>
      </c>
      <c r="IU70" s="69">
        <f t="shared" si="1372"/>
        <v>1</v>
      </c>
      <c r="IV70" s="69">
        <f t="shared" si="1373"/>
        <v>1</v>
      </c>
      <c r="IW70" s="164">
        <f t="shared" si="1379"/>
        <v>0</v>
      </c>
      <c r="IX70" s="149">
        <f t="shared" si="1374"/>
        <v>0</v>
      </c>
      <c r="IY70" s="69">
        <f t="shared" si="1269"/>
        <v>0.83570711111111107</v>
      </c>
      <c r="IZ70" s="15">
        <v>0</v>
      </c>
      <c r="JA70" s="15">
        <f t="shared" si="1375"/>
        <v>720</v>
      </c>
      <c r="JB70" s="92">
        <v>15042.727999999999</v>
      </c>
      <c r="JC70" s="8">
        <v>25</v>
      </c>
      <c r="JE70" s="6"/>
    </row>
    <row r="71" spans="1:265" ht="14.25" x14ac:dyDescent="0.2">
      <c r="B71" s="8" t="s">
        <v>76</v>
      </c>
      <c r="C71" s="8">
        <f t="shared" si="1270"/>
        <v>744</v>
      </c>
      <c r="D71" s="8">
        <v>601</v>
      </c>
      <c r="E71" s="8">
        <v>143</v>
      </c>
      <c r="F71" s="8">
        <v>0</v>
      </c>
      <c r="G71" s="6">
        <f t="shared" si="1271"/>
        <v>0</v>
      </c>
      <c r="H71" s="8">
        <v>0</v>
      </c>
      <c r="I71" s="6">
        <f t="shared" si="1376"/>
        <v>0</v>
      </c>
      <c r="J71" s="8">
        <v>0</v>
      </c>
      <c r="K71" s="6">
        <f t="shared" si="1272"/>
        <v>0</v>
      </c>
      <c r="L71" s="8">
        <v>0</v>
      </c>
      <c r="M71" s="69">
        <f t="shared" si="1261"/>
        <v>1</v>
      </c>
      <c r="N71" s="69">
        <f t="shared" si="1262"/>
        <v>1</v>
      </c>
      <c r="O71" s="69">
        <f t="shared" si="1263"/>
        <v>0</v>
      </c>
      <c r="P71" s="149">
        <f t="shared" si="1264"/>
        <v>0</v>
      </c>
      <c r="Q71" s="69">
        <f t="shared" si="1265"/>
        <v>0.87832483870967748</v>
      </c>
      <c r="R71" s="15">
        <v>0</v>
      </c>
      <c r="S71" s="6">
        <f t="shared" si="1273"/>
        <v>744</v>
      </c>
      <c r="T71" s="85">
        <v>16336.842000000001</v>
      </c>
      <c r="U71" s="8">
        <v>25</v>
      </c>
      <c r="X71" s="8" t="s">
        <v>76</v>
      </c>
      <c r="Y71" s="8">
        <f>$X$4-AB71-AD71-AF71</f>
        <v>744</v>
      </c>
      <c r="Z71" s="8">
        <v>621</v>
      </c>
      <c r="AA71" s="8">
        <v>123</v>
      </c>
      <c r="AB71" s="8">
        <v>0</v>
      </c>
      <c r="AC71" s="8">
        <f t="shared" si="1275"/>
        <v>0</v>
      </c>
      <c r="AD71" s="8">
        <v>0</v>
      </c>
      <c r="AE71" s="8">
        <f t="shared" si="1276"/>
        <v>0</v>
      </c>
      <c r="AF71" s="8">
        <v>0</v>
      </c>
      <c r="AG71" s="8">
        <f t="shared" si="1276"/>
        <v>0</v>
      </c>
      <c r="AH71" s="8">
        <v>0</v>
      </c>
      <c r="AI71" s="69">
        <f t="shared" si="1277"/>
        <v>1</v>
      </c>
      <c r="AJ71" s="69">
        <f t="shared" si="1278"/>
        <v>1</v>
      </c>
      <c r="AK71" s="69">
        <f t="shared" si="1279"/>
        <v>0</v>
      </c>
      <c r="AL71" s="149">
        <f t="shared" si="1280"/>
        <v>0</v>
      </c>
      <c r="AM71" s="69">
        <f t="shared" si="1281"/>
        <v>0.8167665053763441</v>
      </c>
      <c r="AN71" s="15">
        <v>0</v>
      </c>
      <c r="AO71" s="6">
        <f t="shared" si="1282"/>
        <v>744</v>
      </c>
      <c r="AP71" s="85">
        <v>15191.857</v>
      </c>
      <c r="AQ71" s="8">
        <v>25</v>
      </c>
      <c r="AT71" s="8" t="s">
        <v>76</v>
      </c>
      <c r="AU71" s="8">
        <f t="shared" si="1283"/>
        <v>720</v>
      </c>
      <c r="AV71" s="8">
        <v>653</v>
      </c>
      <c r="AW71" s="17">
        <f t="shared" si="1284"/>
        <v>67</v>
      </c>
      <c r="AX71" s="8">
        <v>0</v>
      </c>
      <c r="AY71" s="6">
        <f t="shared" si="1396"/>
        <v>0</v>
      </c>
      <c r="AZ71" s="8">
        <v>0</v>
      </c>
      <c r="BA71" s="6">
        <f t="shared" si="1396"/>
        <v>0</v>
      </c>
      <c r="BB71" s="8">
        <v>0</v>
      </c>
      <c r="BC71" s="6">
        <f t="shared" ref="BC71" si="1406">(BB71/$AT$4)</f>
        <v>0</v>
      </c>
      <c r="BD71" s="8">
        <v>0</v>
      </c>
      <c r="BE71" s="69">
        <f t="shared" si="1380"/>
        <v>1</v>
      </c>
      <c r="BF71" s="69">
        <f t="shared" si="1381"/>
        <v>1</v>
      </c>
      <c r="BG71" s="69">
        <f t="shared" si="1382"/>
        <v>0</v>
      </c>
      <c r="BH71" s="149">
        <f t="shared" si="1383"/>
        <v>0</v>
      </c>
      <c r="BI71" s="69">
        <f t="shared" si="1384"/>
        <v>0.89354161111111108</v>
      </c>
      <c r="BJ71" s="6"/>
      <c r="BK71" s="6">
        <f t="shared" si="1292"/>
        <v>720</v>
      </c>
      <c r="BL71" s="93">
        <v>16083.749</v>
      </c>
      <c r="BM71" s="8">
        <v>25</v>
      </c>
      <c r="BP71" s="8" t="s">
        <v>76</v>
      </c>
      <c r="BQ71" s="6">
        <f t="shared" si="1293"/>
        <v>744</v>
      </c>
      <c r="BR71" s="8">
        <v>508</v>
      </c>
      <c r="BS71" s="17">
        <f t="shared" si="1294"/>
        <v>236</v>
      </c>
      <c r="BT71" s="8">
        <v>0</v>
      </c>
      <c r="BU71" s="6">
        <f t="shared" si="1295"/>
        <v>0</v>
      </c>
      <c r="BV71" s="8">
        <v>0</v>
      </c>
      <c r="BW71" s="6">
        <f t="shared" si="1295"/>
        <v>0</v>
      </c>
      <c r="BX71" s="6">
        <v>0</v>
      </c>
      <c r="BY71" s="6">
        <f t="shared" ref="BY71" si="1407">(BX71/$BP$4)</f>
        <v>0</v>
      </c>
      <c r="BZ71" s="8">
        <v>0</v>
      </c>
      <c r="CA71" s="69">
        <f t="shared" si="1399"/>
        <v>1</v>
      </c>
      <c r="CB71" s="69">
        <f t="shared" si="1400"/>
        <v>1</v>
      </c>
      <c r="CC71" s="149">
        <f t="shared" si="1401"/>
        <v>0</v>
      </c>
      <c r="CD71" s="149">
        <f t="shared" si="1402"/>
        <v>0</v>
      </c>
      <c r="CE71" s="69">
        <f t="shared" si="1403"/>
        <v>0.67355080645161292</v>
      </c>
      <c r="CF71" s="69"/>
      <c r="CG71" s="42">
        <f t="shared" si="1302"/>
        <v>744</v>
      </c>
      <c r="CH71" s="43">
        <v>12528.045</v>
      </c>
      <c r="CI71" s="8">
        <v>25</v>
      </c>
      <c r="CL71" s="8" t="s">
        <v>76</v>
      </c>
      <c r="CM71" s="6">
        <f t="shared" si="1303"/>
        <v>695.49</v>
      </c>
      <c r="CN71" s="6">
        <v>510.86</v>
      </c>
      <c r="CO71" s="6">
        <v>184.63</v>
      </c>
      <c r="CP71" s="8">
        <v>24.51</v>
      </c>
      <c r="CQ71" s="6">
        <f t="shared" si="1304"/>
        <v>3.4041666666666671E-2</v>
      </c>
      <c r="CR71" s="8">
        <v>0</v>
      </c>
      <c r="CS71" s="6">
        <f t="shared" si="1305"/>
        <v>0</v>
      </c>
      <c r="CT71" s="6">
        <v>0</v>
      </c>
      <c r="CU71" s="6">
        <f t="shared" si="1306"/>
        <v>0</v>
      </c>
      <c r="CV71" s="8">
        <v>0</v>
      </c>
      <c r="CW71" s="69">
        <f t="shared" si="1386"/>
        <v>0.96595833333333336</v>
      </c>
      <c r="CX71" s="69">
        <f t="shared" si="1387"/>
        <v>0.96595833333333336</v>
      </c>
      <c r="CY71" s="149">
        <f t="shared" si="1388"/>
        <v>4.5781422193996675E-2</v>
      </c>
      <c r="CZ71" s="149">
        <f t="shared" si="1389"/>
        <v>0</v>
      </c>
      <c r="DA71" s="69">
        <f t="shared" si="1390"/>
        <v>0.76044049999999996</v>
      </c>
      <c r="DB71" s="6"/>
      <c r="DC71" s="6">
        <f t="shared" si="1312"/>
        <v>720</v>
      </c>
      <c r="DD71" s="43">
        <v>13687.929</v>
      </c>
      <c r="DE71" s="8">
        <v>25</v>
      </c>
      <c r="DF71" s="6"/>
      <c r="DH71" s="8" t="s">
        <v>76</v>
      </c>
      <c r="DI71" s="6">
        <f t="shared" si="1313"/>
        <v>696.22</v>
      </c>
      <c r="DJ71" s="8">
        <v>546.44000000000005</v>
      </c>
      <c r="DK71" s="8">
        <v>149.77999999999997</v>
      </c>
      <c r="DL71" s="8">
        <v>0</v>
      </c>
      <c r="DM71" s="69">
        <f t="shared" si="1266"/>
        <v>0</v>
      </c>
      <c r="DN71" s="8">
        <v>0</v>
      </c>
      <c r="DO71" s="69">
        <f t="shared" si="1267"/>
        <v>0</v>
      </c>
      <c r="DP71" s="91">
        <v>47.78</v>
      </c>
      <c r="DQ71" s="69">
        <f t="shared" si="1268"/>
        <v>6.4220430107526885E-2</v>
      </c>
      <c r="DR71" s="8">
        <v>0</v>
      </c>
      <c r="DS71" s="69">
        <f t="shared" si="1391"/>
        <v>0.93577956989247313</v>
      </c>
      <c r="DT71" s="69">
        <f t="shared" si="1392"/>
        <v>0.93577956989247313</v>
      </c>
      <c r="DU71" s="149">
        <f t="shared" si="1393"/>
        <v>0</v>
      </c>
      <c r="DV71" s="149">
        <f t="shared" si="1394"/>
        <v>0</v>
      </c>
      <c r="DW71" s="69">
        <f t="shared" si="1395"/>
        <v>0.76023043010752689</v>
      </c>
      <c r="DX71" s="69"/>
      <c r="DY71" s="15">
        <f t="shared" si="1319"/>
        <v>744</v>
      </c>
      <c r="DZ71" s="43">
        <v>14140.286</v>
      </c>
      <c r="EA71" s="8">
        <v>25</v>
      </c>
      <c r="ED71" s="8" t="s">
        <v>76</v>
      </c>
      <c r="EE71" s="6">
        <f t="shared" si="1320"/>
        <v>693.76</v>
      </c>
      <c r="EF71" s="8">
        <v>433</v>
      </c>
      <c r="EG71" s="8">
        <v>260.76</v>
      </c>
      <c r="EH71" s="8">
        <v>23.7</v>
      </c>
      <c r="EI71" s="6">
        <f t="shared" si="1321"/>
        <v>3.1854838709677417E-2</v>
      </c>
      <c r="EJ71" s="8">
        <v>26.54</v>
      </c>
      <c r="EK71" s="6">
        <f t="shared" si="1322"/>
        <v>3.5672043010752684E-2</v>
      </c>
      <c r="EL71" s="6">
        <v>0</v>
      </c>
      <c r="EM71" s="6">
        <f t="shared" si="1323"/>
        <v>0</v>
      </c>
      <c r="EN71" s="8">
        <v>0</v>
      </c>
      <c r="EO71" s="69">
        <f t="shared" si="1324"/>
        <v>0.93247311827956991</v>
      </c>
      <c r="EP71" s="69">
        <f t="shared" si="1325"/>
        <v>0.93247311827956991</v>
      </c>
      <c r="EQ71" s="149">
        <f t="shared" si="1326"/>
        <v>5.1894022334136196E-2</v>
      </c>
      <c r="ER71" s="149"/>
      <c r="ES71" s="69">
        <f t="shared" si="1327"/>
        <v>0.58584322580645154</v>
      </c>
      <c r="ET71" s="6"/>
      <c r="EU71" s="6">
        <f t="shared" si="1328"/>
        <v>744</v>
      </c>
      <c r="EV71" s="85">
        <v>10896.683999999999</v>
      </c>
      <c r="EW71" s="8">
        <v>25</v>
      </c>
      <c r="EZ71" s="8" t="s">
        <v>76</v>
      </c>
      <c r="FA71" s="6">
        <f t="shared" si="1329"/>
        <v>669.47</v>
      </c>
      <c r="FB71" s="8">
        <v>408.03</v>
      </c>
      <c r="FC71" s="8">
        <v>261.44</v>
      </c>
      <c r="FD71" s="8">
        <v>2.5299999999999998</v>
      </c>
      <c r="FE71" s="6">
        <f t="shared" si="1330"/>
        <v>3.7648809523809523E-3</v>
      </c>
      <c r="FF71" s="8">
        <v>0</v>
      </c>
      <c r="FG71" s="6">
        <f t="shared" si="1331"/>
        <v>0</v>
      </c>
      <c r="FH71" s="6">
        <v>0</v>
      </c>
      <c r="FI71" s="6">
        <f t="shared" si="1332"/>
        <v>0</v>
      </c>
      <c r="FJ71" s="8">
        <v>0</v>
      </c>
      <c r="FK71" s="69">
        <f t="shared" si="1333"/>
        <v>0.89982526881720437</v>
      </c>
      <c r="FL71" s="69">
        <f t="shared" si="1334"/>
        <v>0.99623511904761908</v>
      </c>
      <c r="FM71" s="149">
        <f t="shared" si="1335"/>
        <v>6.1623148869836327E-3</v>
      </c>
      <c r="FN71" s="149">
        <f t="shared" si="1336"/>
        <v>0</v>
      </c>
      <c r="FO71" s="69">
        <f t="shared" si="1337"/>
        <v>0.59856255952380955</v>
      </c>
      <c r="FP71" s="6"/>
      <c r="FQ71" s="6">
        <f t="shared" si="1338"/>
        <v>672</v>
      </c>
      <c r="FR71" s="43">
        <v>10055.851000000001</v>
      </c>
      <c r="FS71" s="8">
        <v>25</v>
      </c>
      <c r="FV71" s="8" t="s">
        <v>76</v>
      </c>
      <c r="FW71" s="6">
        <f t="shared" si="1339"/>
        <v>738.2</v>
      </c>
      <c r="FX71" s="8">
        <v>628.83000000000004</v>
      </c>
      <c r="FY71" s="8">
        <v>109.37</v>
      </c>
      <c r="FZ71" s="8">
        <v>5.8</v>
      </c>
      <c r="GA71" s="69">
        <f t="shared" si="1340"/>
        <v>7.7956989247311825E-3</v>
      </c>
      <c r="GB71" s="8">
        <v>0</v>
      </c>
      <c r="GC71" s="69">
        <f t="shared" si="1341"/>
        <v>0</v>
      </c>
      <c r="GD71" s="6">
        <v>0</v>
      </c>
      <c r="GE71" s="69">
        <f t="shared" si="1342"/>
        <v>0</v>
      </c>
      <c r="GF71" s="8">
        <v>0</v>
      </c>
      <c r="GG71" s="69">
        <f t="shared" si="1343"/>
        <v>0.99220430107526891</v>
      </c>
      <c r="GH71" s="69">
        <f t="shared" si="1344"/>
        <v>0.99220430107526891</v>
      </c>
      <c r="GI71" s="149">
        <f t="shared" si="1345"/>
        <v>9.139183461229378E-3</v>
      </c>
      <c r="GJ71" s="149">
        <f t="shared" si="1346"/>
        <v>0</v>
      </c>
      <c r="GK71" s="69">
        <f t="shared" si="1347"/>
        <v>0.78181021505376347</v>
      </c>
      <c r="GL71" s="69"/>
      <c r="GM71" s="6">
        <f t="shared" si="1348"/>
        <v>744</v>
      </c>
      <c r="GN71" s="43">
        <v>14541.67</v>
      </c>
      <c r="GO71" s="8">
        <v>25</v>
      </c>
      <c r="GR71" s="8" t="s">
        <v>76</v>
      </c>
      <c r="GS71" s="6">
        <f t="shared" si="1349"/>
        <v>718.93</v>
      </c>
      <c r="GT71" s="8">
        <v>637.53</v>
      </c>
      <c r="GU71" s="8">
        <v>81.400000000000006</v>
      </c>
      <c r="GV71" s="8">
        <v>1.07</v>
      </c>
      <c r="GW71" s="6">
        <f t="shared" si="1350"/>
        <v>1.4861111111111112E-3</v>
      </c>
      <c r="GX71" s="8">
        <v>0</v>
      </c>
      <c r="GY71" s="6">
        <f t="shared" si="1351"/>
        <v>0</v>
      </c>
      <c r="GZ71" s="6">
        <v>0</v>
      </c>
      <c r="HA71" s="6">
        <f t="shared" si="1352"/>
        <v>0</v>
      </c>
      <c r="HB71" s="8">
        <v>0</v>
      </c>
      <c r="HC71" s="69">
        <f t="shared" si="1353"/>
        <v>0.96630376344086011</v>
      </c>
      <c r="HD71" s="69">
        <f t="shared" si="1354"/>
        <v>0.99851388888888881</v>
      </c>
      <c r="HE71" s="149">
        <f t="shared" si="1355"/>
        <v>1.6755402442843721E-3</v>
      </c>
      <c r="HF71" s="149">
        <f t="shared" si="1356"/>
        <v>0</v>
      </c>
      <c r="HG71" s="69">
        <f t="shared" si="1357"/>
        <v>0.82483388888888887</v>
      </c>
      <c r="HH71" s="15">
        <v>0</v>
      </c>
      <c r="HI71" s="6">
        <f t="shared" si="1358"/>
        <v>720</v>
      </c>
      <c r="HJ71" s="85">
        <v>14847.01</v>
      </c>
      <c r="HK71" s="8">
        <v>25</v>
      </c>
      <c r="HN71" s="8" t="s">
        <v>76</v>
      </c>
      <c r="HO71" s="8">
        <f t="shared" si="1359"/>
        <v>744</v>
      </c>
      <c r="HP71" s="8">
        <v>554.30999999999995</v>
      </c>
      <c r="HQ71" s="52">
        <v>189.69000000000335</v>
      </c>
      <c r="HR71" s="8">
        <v>0</v>
      </c>
      <c r="HS71" s="6">
        <f t="shared" si="1360"/>
        <v>0</v>
      </c>
      <c r="HT71" s="8">
        <v>0</v>
      </c>
      <c r="HU71" s="6">
        <f t="shared" si="1361"/>
        <v>0</v>
      </c>
      <c r="HV71" s="8">
        <v>0</v>
      </c>
      <c r="HW71" s="6">
        <f t="shared" si="1362"/>
        <v>0</v>
      </c>
      <c r="HX71" s="8">
        <v>0</v>
      </c>
      <c r="HY71" s="69">
        <f t="shared" si="1363"/>
        <v>1</v>
      </c>
      <c r="HZ71" s="69">
        <f t="shared" si="1364"/>
        <v>1</v>
      </c>
      <c r="IA71" s="69">
        <f t="shared" si="1365"/>
        <v>0</v>
      </c>
      <c r="IB71" s="149">
        <f t="shared" si="1366"/>
        <v>0</v>
      </c>
      <c r="IC71" s="69">
        <f t="shared" si="1367"/>
        <v>0.74637419354838708</v>
      </c>
      <c r="ID71" s="15">
        <v>0</v>
      </c>
      <c r="IE71" s="6">
        <f t="shared" si="1368"/>
        <v>744.0000000000033</v>
      </c>
      <c r="IF71" s="85">
        <v>13882.56</v>
      </c>
      <c r="IG71" s="8">
        <v>25</v>
      </c>
      <c r="IJ71" s="8" t="s">
        <v>76</v>
      </c>
      <c r="IK71" s="49">
        <f t="shared" si="1369"/>
        <v>720</v>
      </c>
      <c r="IL71" s="49">
        <v>548.87</v>
      </c>
      <c r="IM71" s="8">
        <v>171.13</v>
      </c>
      <c r="IN71" s="49">
        <v>0</v>
      </c>
      <c r="IO71" s="69">
        <f t="shared" si="1370"/>
        <v>0</v>
      </c>
      <c r="IP71" s="8">
        <v>0</v>
      </c>
      <c r="IQ71" s="69">
        <f t="shared" si="1371"/>
        <v>0</v>
      </c>
      <c r="IR71" s="6">
        <v>0</v>
      </c>
      <c r="IS71" s="69">
        <f t="shared" si="1371"/>
        <v>0</v>
      </c>
      <c r="IT71" s="8">
        <v>0</v>
      </c>
      <c r="IU71" s="69">
        <f t="shared" si="1372"/>
        <v>1</v>
      </c>
      <c r="IV71" s="69">
        <f t="shared" si="1373"/>
        <v>1</v>
      </c>
      <c r="IW71" s="164">
        <f t="shared" si="1379"/>
        <v>0</v>
      </c>
      <c r="IX71" s="149">
        <f t="shared" si="1374"/>
        <v>0</v>
      </c>
      <c r="IY71" s="69">
        <f t="shared" ref="IY71:IY78" si="1408">(JB71/($IJ$4*JC71))</f>
        <v>0.7666615</v>
      </c>
      <c r="IZ71" s="15">
        <v>0</v>
      </c>
      <c r="JA71" s="15">
        <f t="shared" si="1375"/>
        <v>720</v>
      </c>
      <c r="JB71" s="92">
        <v>13799.906999999999</v>
      </c>
      <c r="JC71" s="8">
        <v>25</v>
      </c>
      <c r="JE71" s="6"/>
    </row>
    <row r="72" spans="1:265" ht="14.25" x14ac:dyDescent="0.2">
      <c r="B72" s="8" t="s">
        <v>77</v>
      </c>
      <c r="C72" s="8">
        <f t="shared" si="1270"/>
        <v>744</v>
      </c>
      <c r="D72" s="8">
        <v>571</v>
      </c>
      <c r="E72" s="8">
        <v>173</v>
      </c>
      <c r="F72" s="8">
        <v>0</v>
      </c>
      <c r="G72" s="6">
        <f t="shared" si="1271"/>
        <v>0</v>
      </c>
      <c r="H72" s="8">
        <v>0</v>
      </c>
      <c r="I72" s="6">
        <f t="shared" si="1376"/>
        <v>0</v>
      </c>
      <c r="J72" s="8">
        <v>0</v>
      </c>
      <c r="K72" s="6">
        <f t="shared" si="1272"/>
        <v>0</v>
      </c>
      <c r="L72" s="8">
        <v>0</v>
      </c>
      <c r="M72" s="69">
        <f t="shared" si="1261"/>
        <v>1</v>
      </c>
      <c r="N72" s="69">
        <f t="shared" si="1262"/>
        <v>1</v>
      </c>
      <c r="O72" s="69">
        <f t="shared" si="1263"/>
        <v>0</v>
      </c>
      <c r="P72" s="149">
        <f t="shared" si="1264"/>
        <v>0</v>
      </c>
      <c r="Q72" s="69">
        <f t="shared" si="1265"/>
        <v>0.76110446236559137</v>
      </c>
      <c r="R72" s="15">
        <v>0</v>
      </c>
      <c r="S72" s="6">
        <f t="shared" si="1273"/>
        <v>744</v>
      </c>
      <c r="T72" s="85">
        <v>14156.543</v>
      </c>
      <c r="U72" s="8">
        <v>25</v>
      </c>
      <c r="X72" s="8" t="s">
        <v>77</v>
      </c>
      <c r="Y72" s="8">
        <f t="shared" si="1274"/>
        <v>744</v>
      </c>
      <c r="Z72" s="8">
        <v>515</v>
      </c>
      <c r="AA72" s="8">
        <v>229</v>
      </c>
      <c r="AB72" s="8">
        <v>0</v>
      </c>
      <c r="AC72" s="8">
        <f t="shared" si="1275"/>
        <v>0</v>
      </c>
      <c r="AD72" s="8">
        <v>0</v>
      </c>
      <c r="AE72" s="8">
        <f t="shared" si="1276"/>
        <v>0</v>
      </c>
      <c r="AF72" s="8">
        <v>0</v>
      </c>
      <c r="AG72" s="8">
        <f t="shared" si="1276"/>
        <v>0</v>
      </c>
      <c r="AH72" s="8">
        <v>0</v>
      </c>
      <c r="AI72" s="69">
        <f t="shared" si="1277"/>
        <v>1</v>
      </c>
      <c r="AJ72" s="69">
        <f t="shared" si="1278"/>
        <v>1</v>
      </c>
      <c r="AK72" s="69">
        <f t="shared" si="1279"/>
        <v>0</v>
      </c>
      <c r="AL72" s="149">
        <f t="shared" si="1280"/>
        <v>0</v>
      </c>
      <c r="AM72" s="69">
        <f t="shared" si="1281"/>
        <v>0.66748091397849463</v>
      </c>
      <c r="AN72" s="15">
        <v>0</v>
      </c>
      <c r="AO72" s="6">
        <f t="shared" si="1282"/>
        <v>744</v>
      </c>
      <c r="AP72" s="85">
        <v>12415.145</v>
      </c>
      <c r="AQ72" s="8">
        <v>25</v>
      </c>
      <c r="AT72" s="8" t="s">
        <v>77</v>
      </c>
      <c r="AU72" s="8">
        <f t="shared" si="1283"/>
        <v>720</v>
      </c>
      <c r="AV72" s="8">
        <v>394</v>
      </c>
      <c r="AW72" s="17">
        <f t="shared" si="1284"/>
        <v>326</v>
      </c>
      <c r="AX72" s="8">
        <v>0</v>
      </c>
      <c r="AY72" s="6">
        <f t="shared" si="1396"/>
        <v>0</v>
      </c>
      <c r="AZ72" s="8">
        <v>0</v>
      </c>
      <c r="BA72" s="6">
        <f t="shared" si="1396"/>
        <v>0</v>
      </c>
      <c r="BB72" s="8">
        <v>0</v>
      </c>
      <c r="BC72" s="6">
        <f t="shared" ref="BC72" si="1409">(BB72/$AT$4)</f>
        <v>0</v>
      </c>
      <c r="BD72" s="8">
        <v>0</v>
      </c>
      <c r="BE72" s="69">
        <f t="shared" ref="BE72:BE78" si="1410">(AU72/$AT$4)</f>
        <v>1</v>
      </c>
      <c r="BF72" s="69">
        <f t="shared" ref="BF72:BF78" si="1411">((AU72-BD72)/$AT$4)</f>
        <v>1</v>
      </c>
      <c r="BG72" s="69">
        <f t="shared" ref="BG72:BG78" si="1412">IF((AND(AV72=0,AX72=0)),0,(AX72+BD72)/(AV72+AX72+BD72))</f>
        <v>0</v>
      </c>
      <c r="BH72" s="149">
        <f t="shared" ref="BH72:BH78" si="1413">BD72/$AT$4</f>
        <v>0</v>
      </c>
      <c r="BI72" s="69">
        <f t="shared" ref="BI72:BI78" si="1414">(BL72/($AT$4*BM72))</f>
        <v>0.53362661111111109</v>
      </c>
      <c r="BJ72" s="6"/>
      <c r="BK72" s="6">
        <f t="shared" si="1292"/>
        <v>720</v>
      </c>
      <c r="BL72" s="93">
        <v>9605.2790000000005</v>
      </c>
      <c r="BM72" s="8">
        <v>25</v>
      </c>
      <c r="BP72" s="8" t="s">
        <v>77</v>
      </c>
      <c r="BQ72" s="6">
        <f t="shared" si="1293"/>
        <v>744</v>
      </c>
      <c r="BR72" s="8">
        <v>502</v>
      </c>
      <c r="BS72" s="17">
        <f t="shared" si="1294"/>
        <v>242</v>
      </c>
      <c r="BT72" s="8">
        <v>0</v>
      </c>
      <c r="BU72" s="6">
        <f t="shared" si="1295"/>
        <v>0</v>
      </c>
      <c r="BV72" s="8">
        <v>0</v>
      </c>
      <c r="BW72" s="6">
        <f t="shared" si="1295"/>
        <v>0</v>
      </c>
      <c r="BX72" s="6">
        <v>0</v>
      </c>
      <c r="BY72" s="6">
        <f t="shared" ref="BY72" si="1415">(BX72/$BP$4)</f>
        <v>0</v>
      </c>
      <c r="BZ72" s="8">
        <v>0</v>
      </c>
      <c r="CA72" s="69">
        <f t="shared" si="1399"/>
        <v>1</v>
      </c>
      <c r="CB72" s="69">
        <f t="shared" si="1400"/>
        <v>1</v>
      </c>
      <c r="CC72" s="149">
        <f t="shared" si="1401"/>
        <v>0</v>
      </c>
      <c r="CD72" s="149">
        <f t="shared" si="1402"/>
        <v>0</v>
      </c>
      <c r="CE72" s="69">
        <f t="shared" si="1403"/>
        <v>0.64244822580645167</v>
      </c>
      <c r="CF72" s="69"/>
      <c r="CG72" s="42">
        <f t="shared" si="1302"/>
        <v>744</v>
      </c>
      <c r="CH72" s="43">
        <v>11949.537</v>
      </c>
      <c r="CI72" s="8">
        <v>25</v>
      </c>
      <c r="CL72" s="8" t="s">
        <v>77</v>
      </c>
      <c r="CM72" s="6">
        <f t="shared" si="1303"/>
        <v>614.37</v>
      </c>
      <c r="CN72" s="6">
        <v>406.9</v>
      </c>
      <c r="CO72" s="6">
        <v>207.47000000000003</v>
      </c>
      <c r="CP72" s="8">
        <v>42.93</v>
      </c>
      <c r="CQ72" s="6">
        <f t="shared" si="1304"/>
        <v>5.9624999999999997E-2</v>
      </c>
      <c r="CR72" s="8">
        <v>0</v>
      </c>
      <c r="CS72" s="6">
        <f t="shared" si="1305"/>
        <v>0</v>
      </c>
      <c r="CT72" s="6">
        <v>62.7</v>
      </c>
      <c r="CU72" s="6">
        <f t="shared" si="1306"/>
        <v>8.7083333333333332E-2</v>
      </c>
      <c r="CV72" s="8">
        <v>0</v>
      </c>
      <c r="CW72" s="69">
        <f t="shared" si="1386"/>
        <v>0.85329166666666667</v>
      </c>
      <c r="CX72" s="69">
        <f t="shared" si="1387"/>
        <v>0.85329166666666667</v>
      </c>
      <c r="CY72" s="149">
        <f t="shared" si="1388"/>
        <v>9.5436053620256547E-2</v>
      </c>
      <c r="CZ72" s="149">
        <f t="shared" si="1389"/>
        <v>0</v>
      </c>
      <c r="DA72" s="69">
        <f t="shared" si="1390"/>
        <v>0.57782033333333327</v>
      </c>
      <c r="DB72" s="6"/>
      <c r="DC72" s="6">
        <f t="shared" si="1312"/>
        <v>720</v>
      </c>
      <c r="DD72" s="43">
        <v>10400.766</v>
      </c>
      <c r="DE72" s="8">
        <v>25</v>
      </c>
      <c r="DF72" s="6"/>
      <c r="DH72" s="8" t="s">
        <v>77</v>
      </c>
      <c r="DI72" s="6">
        <f t="shared" si="1313"/>
        <v>733.55</v>
      </c>
      <c r="DJ72" s="8">
        <v>583.20000000000005</v>
      </c>
      <c r="DK72" s="8">
        <v>150.34999999999991</v>
      </c>
      <c r="DL72" s="8">
        <v>10.45</v>
      </c>
      <c r="DM72" s="69">
        <f t="shared" si="1266"/>
        <v>1.4045698924731181E-2</v>
      </c>
      <c r="DN72" s="8">
        <v>0</v>
      </c>
      <c r="DO72" s="69">
        <f t="shared" si="1267"/>
        <v>0</v>
      </c>
      <c r="DP72" s="91">
        <v>0</v>
      </c>
      <c r="DQ72" s="69">
        <f t="shared" si="1268"/>
        <v>0</v>
      </c>
      <c r="DR72" s="8">
        <v>0</v>
      </c>
      <c r="DS72" s="69">
        <f t="shared" ref="DS72:DS78" si="1416">(DI72/$X$4)</f>
        <v>0.98595430107526871</v>
      </c>
      <c r="DT72" s="69">
        <f t="shared" ref="DT72:DT78" si="1417">((DI72-DR72)/$DH$4)</f>
        <v>0.98595430107526871</v>
      </c>
      <c r="DU72" s="149">
        <f t="shared" ref="DU72:DU78" si="1418">IF((AND(DJ72=0,DL72=0)),0,(DL72+DR72)/(DJ72+DL72+DR72))</f>
        <v>1.7602964709845865E-2</v>
      </c>
      <c r="DV72" s="149">
        <f t="shared" ref="DV72:DV78" si="1419">DR72/$DH$4</f>
        <v>0</v>
      </c>
      <c r="DW72" s="69">
        <f t="shared" ref="DW72:DW78" si="1420">(DZ72/($DH$4*EA72))</f>
        <v>0.81057091397849468</v>
      </c>
      <c r="DX72" s="69"/>
      <c r="DY72" s="15">
        <f t="shared" si="1319"/>
        <v>744</v>
      </c>
      <c r="DZ72" s="43">
        <v>15076.619000000001</v>
      </c>
      <c r="EA72" s="8">
        <v>25</v>
      </c>
      <c r="ED72" s="8" t="s">
        <v>77</v>
      </c>
      <c r="EE72" s="6">
        <f t="shared" si="1320"/>
        <v>692.99</v>
      </c>
      <c r="EF72" s="8">
        <v>432.93</v>
      </c>
      <c r="EG72" s="8">
        <v>260.06</v>
      </c>
      <c r="EH72" s="8">
        <v>23.7</v>
      </c>
      <c r="EI72" s="6">
        <f t="shared" si="1321"/>
        <v>3.1854838709677417E-2</v>
      </c>
      <c r="EJ72" s="8">
        <v>27.31</v>
      </c>
      <c r="EK72" s="6">
        <f t="shared" si="1322"/>
        <v>3.6706989247311826E-2</v>
      </c>
      <c r="EL72" s="6">
        <v>0</v>
      </c>
      <c r="EM72" s="6">
        <f t="shared" si="1323"/>
        <v>0</v>
      </c>
      <c r="EN72" s="8">
        <v>0</v>
      </c>
      <c r="EO72" s="69">
        <f t="shared" si="1324"/>
        <v>0.93143817204301071</v>
      </c>
      <c r="EP72" s="69">
        <f t="shared" si="1325"/>
        <v>0.93143817204301071</v>
      </c>
      <c r="EQ72" s="149">
        <f t="shared" si="1326"/>
        <v>5.1901977531042635E-2</v>
      </c>
      <c r="ER72" s="149"/>
      <c r="ES72" s="69">
        <f t="shared" si="1327"/>
        <v>0.63821919354838708</v>
      </c>
      <c r="ET72" s="6"/>
      <c r="EU72" s="6">
        <f t="shared" si="1328"/>
        <v>744</v>
      </c>
      <c r="EV72" s="85">
        <v>11870.877</v>
      </c>
      <c r="EW72" s="8">
        <v>25</v>
      </c>
      <c r="EZ72" s="8" t="s">
        <v>77</v>
      </c>
      <c r="FA72" s="6">
        <f t="shared" si="1329"/>
        <v>600.29999999999995</v>
      </c>
      <c r="FB72" s="8">
        <v>303.29000000000002</v>
      </c>
      <c r="FC72" s="8">
        <v>297.01</v>
      </c>
      <c r="FD72" s="8">
        <v>71.7</v>
      </c>
      <c r="FE72" s="6">
        <f t="shared" si="1330"/>
        <v>0.10669642857142858</v>
      </c>
      <c r="FF72" s="8">
        <v>0</v>
      </c>
      <c r="FG72" s="6">
        <f t="shared" si="1331"/>
        <v>0</v>
      </c>
      <c r="FH72" s="6">
        <v>0</v>
      </c>
      <c r="FI72" s="6">
        <f t="shared" si="1332"/>
        <v>0</v>
      </c>
      <c r="FJ72" s="8">
        <v>0</v>
      </c>
      <c r="FK72" s="69">
        <f t="shared" si="1333"/>
        <v>0.80685483870967734</v>
      </c>
      <c r="FL72" s="69">
        <f t="shared" si="1334"/>
        <v>0.89330357142857131</v>
      </c>
      <c r="FM72" s="149">
        <f t="shared" si="1335"/>
        <v>0.19120509880263473</v>
      </c>
      <c r="FN72" s="149">
        <f t="shared" si="1336"/>
        <v>0</v>
      </c>
      <c r="FO72" s="69">
        <f t="shared" si="1337"/>
        <v>0.45282261904761906</v>
      </c>
      <c r="FP72" s="6"/>
      <c r="FQ72" s="6">
        <f t="shared" si="1338"/>
        <v>672</v>
      </c>
      <c r="FR72" s="43">
        <v>7607.42</v>
      </c>
      <c r="FS72" s="8">
        <v>25</v>
      </c>
      <c r="FV72" s="8" t="s">
        <v>77</v>
      </c>
      <c r="FW72" s="6">
        <f t="shared" si="1339"/>
        <v>716.01</v>
      </c>
      <c r="FX72" s="8">
        <v>593.75</v>
      </c>
      <c r="FY72" s="8">
        <v>122.26</v>
      </c>
      <c r="FZ72" s="8">
        <v>27.99</v>
      </c>
      <c r="GA72" s="69">
        <f t="shared" si="1340"/>
        <v>3.7620967741935483E-2</v>
      </c>
      <c r="GB72" s="8">
        <v>0</v>
      </c>
      <c r="GC72" s="69">
        <f t="shared" si="1341"/>
        <v>0</v>
      </c>
      <c r="GD72" s="6">
        <v>0</v>
      </c>
      <c r="GE72" s="69">
        <f t="shared" si="1342"/>
        <v>0</v>
      </c>
      <c r="GF72" s="8">
        <v>0</v>
      </c>
      <c r="GG72" s="69">
        <f t="shared" si="1343"/>
        <v>0.96237903225806454</v>
      </c>
      <c r="GH72" s="69">
        <f t="shared" si="1344"/>
        <v>0.96237903225806454</v>
      </c>
      <c r="GI72" s="149">
        <f t="shared" si="1345"/>
        <v>4.5018818155499081E-2</v>
      </c>
      <c r="GJ72" s="149">
        <f t="shared" si="1346"/>
        <v>0</v>
      </c>
      <c r="GK72" s="69">
        <f t="shared" si="1347"/>
        <v>0.75076973118279566</v>
      </c>
      <c r="GL72" s="69"/>
      <c r="GM72" s="6">
        <f t="shared" si="1348"/>
        <v>744</v>
      </c>
      <c r="GN72" s="43">
        <v>13964.316999999999</v>
      </c>
      <c r="GO72" s="8">
        <v>25</v>
      </c>
      <c r="GR72" s="8" t="s">
        <v>77</v>
      </c>
      <c r="GS72" s="6">
        <f t="shared" si="1349"/>
        <v>701.55</v>
      </c>
      <c r="GT72" s="8">
        <v>520.89</v>
      </c>
      <c r="GU72" s="8">
        <v>180.66</v>
      </c>
      <c r="GV72" s="8">
        <v>18.45</v>
      </c>
      <c r="GW72" s="6">
        <f t="shared" si="1350"/>
        <v>2.5624999999999998E-2</v>
      </c>
      <c r="GX72" s="8">
        <v>0</v>
      </c>
      <c r="GY72" s="6">
        <f t="shared" si="1351"/>
        <v>0</v>
      </c>
      <c r="GZ72" s="6">
        <v>0</v>
      </c>
      <c r="HA72" s="6">
        <f t="shared" si="1352"/>
        <v>0</v>
      </c>
      <c r="HB72" s="8">
        <v>0</v>
      </c>
      <c r="HC72" s="69">
        <f t="shared" si="1353"/>
        <v>0.94294354838709671</v>
      </c>
      <c r="HD72" s="69">
        <f t="shared" si="1354"/>
        <v>0.97437499999999999</v>
      </c>
      <c r="HE72" s="149">
        <f t="shared" si="1355"/>
        <v>3.4208477027478028E-2</v>
      </c>
      <c r="HF72" s="149">
        <f t="shared" si="1356"/>
        <v>0</v>
      </c>
      <c r="HG72" s="69">
        <f t="shared" si="1357"/>
        <v>0.74200500000000003</v>
      </c>
      <c r="HH72" s="15">
        <v>0</v>
      </c>
      <c r="HI72" s="6">
        <f t="shared" si="1358"/>
        <v>720</v>
      </c>
      <c r="HJ72" s="85">
        <v>13356.09</v>
      </c>
      <c r="HK72" s="8">
        <v>25</v>
      </c>
      <c r="HN72" s="8" t="s">
        <v>77</v>
      </c>
      <c r="HO72" s="8">
        <f t="shared" si="1359"/>
        <v>744</v>
      </c>
      <c r="HP72" s="8">
        <v>505.06</v>
      </c>
      <c r="HQ72" s="52">
        <v>238.94000000000034</v>
      </c>
      <c r="HR72" s="8">
        <v>0</v>
      </c>
      <c r="HS72" s="6">
        <f t="shared" si="1360"/>
        <v>0</v>
      </c>
      <c r="HT72" s="8">
        <v>0</v>
      </c>
      <c r="HU72" s="6">
        <f t="shared" si="1361"/>
        <v>0</v>
      </c>
      <c r="HV72" s="8">
        <v>0</v>
      </c>
      <c r="HW72" s="6">
        <f t="shared" si="1362"/>
        <v>0</v>
      </c>
      <c r="HX72" s="8">
        <v>0</v>
      </c>
      <c r="HY72" s="69">
        <f t="shared" si="1363"/>
        <v>1</v>
      </c>
      <c r="HZ72" s="69">
        <f t="shared" si="1364"/>
        <v>1</v>
      </c>
      <c r="IA72" s="69">
        <f t="shared" si="1365"/>
        <v>0</v>
      </c>
      <c r="IB72" s="149">
        <f t="shared" si="1366"/>
        <v>0</v>
      </c>
      <c r="IC72" s="69">
        <f t="shared" si="1367"/>
        <v>0.68854946236559145</v>
      </c>
      <c r="ID72" s="15">
        <v>0</v>
      </c>
      <c r="IE72" s="6">
        <f t="shared" si="1368"/>
        <v>744.00000000000034</v>
      </c>
      <c r="IF72" s="85">
        <v>12807.02</v>
      </c>
      <c r="IG72" s="8">
        <v>25</v>
      </c>
      <c r="IJ72" s="8" t="s">
        <v>77</v>
      </c>
      <c r="IK72" s="49">
        <f t="shared" si="1369"/>
        <v>720</v>
      </c>
      <c r="IL72" s="49">
        <v>533.9</v>
      </c>
      <c r="IM72" s="8">
        <v>186.10000000000002</v>
      </c>
      <c r="IN72" s="49">
        <v>0</v>
      </c>
      <c r="IO72" s="69">
        <f t="shared" si="1370"/>
        <v>0</v>
      </c>
      <c r="IP72" s="8">
        <v>0</v>
      </c>
      <c r="IQ72" s="69">
        <f t="shared" si="1371"/>
        <v>0</v>
      </c>
      <c r="IR72" s="6">
        <v>0</v>
      </c>
      <c r="IS72" s="69">
        <f t="shared" si="1371"/>
        <v>0</v>
      </c>
      <c r="IT72" s="8">
        <v>0</v>
      </c>
      <c r="IU72" s="69">
        <f t="shared" si="1372"/>
        <v>1</v>
      </c>
      <c r="IV72" s="69">
        <f t="shared" si="1373"/>
        <v>1</v>
      </c>
      <c r="IW72" s="164">
        <f t="shared" si="1379"/>
        <v>0</v>
      </c>
      <c r="IX72" s="149">
        <f t="shared" si="1374"/>
        <v>0</v>
      </c>
      <c r="IY72" s="69">
        <f t="shared" si="1408"/>
        <v>0.74007316666666667</v>
      </c>
      <c r="IZ72" s="15">
        <v>0</v>
      </c>
      <c r="JA72" s="15">
        <f t="shared" si="1375"/>
        <v>720</v>
      </c>
      <c r="JB72" s="92">
        <v>13321.316999999999</v>
      </c>
      <c r="JC72" s="8">
        <v>25</v>
      </c>
      <c r="JE72" s="6"/>
    </row>
    <row r="73" spans="1:265" ht="14.25" x14ac:dyDescent="0.2">
      <c r="B73" s="8" t="s">
        <v>78</v>
      </c>
      <c r="C73" s="8">
        <f t="shared" si="1270"/>
        <v>744</v>
      </c>
      <c r="D73" s="8">
        <v>585</v>
      </c>
      <c r="E73" s="8">
        <v>159</v>
      </c>
      <c r="F73" s="8">
        <v>0</v>
      </c>
      <c r="G73" s="6">
        <f t="shared" si="1271"/>
        <v>0</v>
      </c>
      <c r="H73" s="8">
        <v>0</v>
      </c>
      <c r="I73" s="6">
        <f t="shared" si="1376"/>
        <v>0</v>
      </c>
      <c r="J73" s="8">
        <v>0</v>
      </c>
      <c r="K73" s="6">
        <f t="shared" si="1272"/>
        <v>0</v>
      </c>
      <c r="L73" s="8">
        <v>0</v>
      </c>
      <c r="M73" s="69">
        <f t="shared" si="1261"/>
        <v>1</v>
      </c>
      <c r="N73" s="69">
        <f t="shared" si="1262"/>
        <v>1</v>
      </c>
      <c r="O73" s="69">
        <f t="shared" si="1263"/>
        <v>0</v>
      </c>
      <c r="P73" s="149">
        <f t="shared" si="1264"/>
        <v>0</v>
      </c>
      <c r="Q73" s="69">
        <f t="shared" si="1265"/>
        <v>0.77079473118279562</v>
      </c>
      <c r="R73" s="15">
        <v>0</v>
      </c>
      <c r="S73" s="6">
        <f t="shared" si="1273"/>
        <v>744</v>
      </c>
      <c r="T73" s="85">
        <v>14336.781999999999</v>
      </c>
      <c r="U73" s="8">
        <v>25</v>
      </c>
      <c r="X73" s="8" t="s">
        <v>78</v>
      </c>
      <c r="Y73" s="8">
        <f t="shared" si="1274"/>
        <v>744</v>
      </c>
      <c r="Z73" s="8">
        <v>608</v>
      </c>
      <c r="AA73" s="8">
        <v>136</v>
      </c>
      <c r="AB73" s="8">
        <v>0</v>
      </c>
      <c r="AC73" s="8">
        <f t="shared" si="1275"/>
        <v>0</v>
      </c>
      <c r="AD73" s="8">
        <v>0</v>
      </c>
      <c r="AE73" s="8">
        <f t="shared" si="1276"/>
        <v>0</v>
      </c>
      <c r="AF73" s="8">
        <v>0</v>
      </c>
      <c r="AG73" s="8">
        <f t="shared" si="1276"/>
        <v>0</v>
      </c>
      <c r="AH73" s="8">
        <v>0</v>
      </c>
      <c r="AI73" s="69">
        <f t="shared" si="1277"/>
        <v>1</v>
      </c>
      <c r="AJ73" s="69">
        <f t="shared" si="1278"/>
        <v>1</v>
      </c>
      <c r="AK73" s="69">
        <f t="shared" si="1279"/>
        <v>0</v>
      </c>
      <c r="AL73" s="149">
        <f t="shared" si="1280"/>
        <v>0</v>
      </c>
      <c r="AM73" s="69">
        <f t="shared" si="1281"/>
        <v>0.79606833333333327</v>
      </c>
      <c r="AN73" s="15">
        <v>0</v>
      </c>
      <c r="AO73" s="6">
        <f t="shared" si="1282"/>
        <v>744</v>
      </c>
      <c r="AP73" s="85">
        <v>14806.870999999999</v>
      </c>
      <c r="AQ73" s="8">
        <v>25</v>
      </c>
      <c r="AT73" s="8" t="s">
        <v>78</v>
      </c>
      <c r="AU73" s="8">
        <f t="shared" si="1283"/>
        <v>720</v>
      </c>
      <c r="AV73" s="8">
        <v>638</v>
      </c>
      <c r="AW73" s="17">
        <f t="shared" si="1284"/>
        <v>82</v>
      </c>
      <c r="AX73" s="8">
        <v>0</v>
      </c>
      <c r="AY73" s="6">
        <f t="shared" si="1396"/>
        <v>0</v>
      </c>
      <c r="AZ73" s="8">
        <v>0</v>
      </c>
      <c r="BA73" s="6">
        <f t="shared" si="1396"/>
        <v>0</v>
      </c>
      <c r="BB73" s="8">
        <v>0</v>
      </c>
      <c r="BC73" s="6">
        <f t="shared" ref="BC73" si="1421">(BB73/$AT$4)</f>
        <v>0</v>
      </c>
      <c r="BD73" s="8">
        <v>0</v>
      </c>
      <c r="BE73" s="69">
        <f t="shared" si="1410"/>
        <v>1</v>
      </c>
      <c r="BF73" s="69">
        <f t="shared" si="1411"/>
        <v>1</v>
      </c>
      <c r="BG73" s="69">
        <f t="shared" si="1412"/>
        <v>0</v>
      </c>
      <c r="BH73" s="149">
        <f t="shared" si="1413"/>
        <v>0</v>
      </c>
      <c r="BI73" s="69">
        <f t="shared" si="1414"/>
        <v>0.85896594444444452</v>
      </c>
      <c r="BJ73" s="6"/>
      <c r="BK73" s="6">
        <f t="shared" si="1292"/>
        <v>720</v>
      </c>
      <c r="BL73" s="93">
        <v>15461.387000000001</v>
      </c>
      <c r="BM73" s="8">
        <v>25</v>
      </c>
      <c r="BP73" s="8" t="s">
        <v>78</v>
      </c>
      <c r="BQ73" s="6">
        <f t="shared" si="1293"/>
        <v>744</v>
      </c>
      <c r="BR73" s="8">
        <v>542</v>
      </c>
      <c r="BS73" s="17">
        <f t="shared" si="1294"/>
        <v>202</v>
      </c>
      <c r="BT73" s="8">
        <v>0</v>
      </c>
      <c r="BU73" s="6">
        <f t="shared" si="1295"/>
        <v>0</v>
      </c>
      <c r="BV73" s="8">
        <v>0</v>
      </c>
      <c r="BW73" s="6">
        <f t="shared" si="1295"/>
        <v>0</v>
      </c>
      <c r="BX73" s="6">
        <v>0</v>
      </c>
      <c r="BY73" s="6">
        <f t="shared" ref="BY73" si="1422">(BX73/$BP$4)</f>
        <v>0</v>
      </c>
      <c r="BZ73" s="8">
        <v>0</v>
      </c>
      <c r="CA73" s="69">
        <f t="shared" si="1399"/>
        <v>1</v>
      </c>
      <c r="CB73" s="69">
        <f t="shared" si="1400"/>
        <v>1</v>
      </c>
      <c r="CC73" s="149">
        <f t="shared" si="1401"/>
        <v>0</v>
      </c>
      <c r="CD73" s="149">
        <f t="shared" si="1402"/>
        <v>0</v>
      </c>
      <c r="CE73" s="69">
        <f t="shared" si="1403"/>
        <v>0.70415155913978489</v>
      </c>
      <c r="CF73" s="69"/>
      <c r="CG73" s="42">
        <f t="shared" si="1302"/>
        <v>744</v>
      </c>
      <c r="CH73" s="43">
        <v>13097.218999999999</v>
      </c>
      <c r="CI73" s="8">
        <v>25</v>
      </c>
      <c r="CL73" s="8" t="s">
        <v>78</v>
      </c>
      <c r="CM73" s="6">
        <f t="shared" si="1303"/>
        <v>661.61</v>
      </c>
      <c r="CN73" s="6">
        <v>467.93</v>
      </c>
      <c r="CO73" s="6">
        <v>193.67999999999995</v>
      </c>
      <c r="CP73" s="8">
        <v>58.39</v>
      </c>
      <c r="CQ73" s="6">
        <f t="shared" si="1304"/>
        <v>8.1097222222222223E-2</v>
      </c>
      <c r="CR73" s="8">
        <v>0</v>
      </c>
      <c r="CS73" s="6">
        <f t="shared" si="1305"/>
        <v>0</v>
      </c>
      <c r="CT73" s="6">
        <v>0</v>
      </c>
      <c r="CU73" s="6">
        <f t="shared" si="1306"/>
        <v>0</v>
      </c>
      <c r="CV73" s="8">
        <v>0</v>
      </c>
      <c r="CW73" s="69">
        <f t="shared" si="1386"/>
        <v>0.91890277777777785</v>
      </c>
      <c r="CX73" s="69">
        <f t="shared" si="1387"/>
        <v>0.91890277777777785</v>
      </c>
      <c r="CY73" s="149">
        <f t="shared" si="1388"/>
        <v>0.11094011247910016</v>
      </c>
      <c r="CZ73" s="149">
        <f t="shared" si="1389"/>
        <v>0</v>
      </c>
      <c r="DA73" s="69">
        <f t="shared" si="1390"/>
        <v>0.64683722222222217</v>
      </c>
      <c r="DB73" s="6"/>
      <c r="DC73" s="6">
        <f t="shared" si="1312"/>
        <v>719.99999999999989</v>
      </c>
      <c r="DD73" s="43">
        <v>11643.07</v>
      </c>
      <c r="DE73" s="8">
        <v>25</v>
      </c>
      <c r="DF73" s="6"/>
      <c r="DH73" s="8" t="s">
        <v>78</v>
      </c>
      <c r="DI73" s="6">
        <f t="shared" si="1313"/>
        <v>720.35</v>
      </c>
      <c r="DJ73" s="8">
        <v>587.98</v>
      </c>
      <c r="DK73" s="8">
        <v>132.37</v>
      </c>
      <c r="DL73" s="8">
        <v>0</v>
      </c>
      <c r="DM73" s="69">
        <f t="shared" si="1266"/>
        <v>0</v>
      </c>
      <c r="DN73" s="8">
        <v>0</v>
      </c>
      <c r="DO73" s="69">
        <f t="shared" si="1267"/>
        <v>0</v>
      </c>
      <c r="DP73" s="91">
        <v>23.65</v>
      </c>
      <c r="DQ73" s="69">
        <f t="shared" si="1268"/>
        <v>3.1787634408602147E-2</v>
      </c>
      <c r="DR73" s="8">
        <v>0</v>
      </c>
      <c r="DS73" s="69">
        <f t="shared" si="1416"/>
        <v>0.96821236559139789</v>
      </c>
      <c r="DT73" s="69">
        <f t="shared" si="1417"/>
        <v>0.96821236559139789</v>
      </c>
      <c r="DU73" s="149">
        <f t="shared" si="1418"/>
        <v>0</v>
      </c>
      <c r="DV73" s="149">
        <f t="shared" si="1419"/>
        <v>0</v>
      </c>
      <c r="DW73" s="69">
        <f t="shared" si="1420"/>
        <v>0.79228838709677418</v>
      </c>
      <c r="DX73" s="69"/>
      <c r="DY73" s="15">
        <f t="shared" si="1319"/>
        <v>744</v>
      </c>
      <c r="DZ73" s="43">
        <v>14736.564</v>
      </c>
      <c r="EA73" s="8">
        <v>25</v>
      </c>
      <c r="ED73" s="8" t="s">
        <v>78</v>
      </c>
      <c r="EE73" s="6">
        <f t="shared" si="1320"/>
        <v>144.29999999999995</v>
      </c>
      <c r="EF73" s="8">
        <v>94.79</v>
      </c>
      <c r="EG73" s="8">
        <v>49.51</v>
      </c>
      <c r="EH73" s="8">
        <v>575.70000000000005</v>
      </c>
      <c r="EI73" s="6">
        <f t="shared" si="1321"/>
        <v>0.77379032258064517</v>
      </c>
      <c r="EJ73" s="8">
        <v>24</v>
      </c>
      <c r="EK73" s="6">
        <f t="shared" si="1322"/>
        <v>3.2258064516129031E-2</v>
      </c>
      <c r="EL73" s="6">
        <v>0</v>
      </c>
      <c r="EM73" s="6">
        <f t="shared" si="1323"/>
        <v>0</v>
      </c>
      <c r="EN73" s="8">
        <v>0</v>
      </c>
      <c r="EO73" s="69">
        <f t="shared" si="1324"/>
        <v>0.19395161290322574</v>
      </c>
      <c r="EP73" s="69">
        <f t="shared" si="1325"/>
        <v>0.19395161290322574</v>
      </c>
      <c r="EQ73" s="149">
        <f t="shared" si="1326"/>
        <v>0.85862578114513277</v>
      </c>
      <c r="ER73" s="149"/>
      <c r="ES73" s="69">
        <f t="shared" si="1327"/>
        <v>0.13150661290322582</v>
      </c>
      <c r="ET73" s="6"/>
      <c r="EU73" s="6">
        <f t="shared" si="1328"/>
        <v>744</v>
      </c>
      <c r="EV73" s="85">
        <v>2446.0230000000001</v>
      </c>
      <c r="EW73" s="8">
        <v>25</v>
      </c>
      <c r="EZ73" s="8" t="s">
        <v>78</v>
      </c>
      <c r="FA73" s="6">
        <f t="shared" si="1329"/>
        <v>0</v>
      </c>
      <c r="FB73" s="8">
        <v>0</v>
      </c>
      <c r="FC73" s="8">
        <v>0</v>
      </c>
      <c r="FD73" s="8">
        <v>672</v>
      </c>
      <c r="FE73" s="6">
        <f t="shared" si="1330"/>
        <v>1</v>
      </c>
      <c r="FF73" s="8">
        <v>0</v>
      </c>
      <c r="FG73" s="6">
        <f t="shared" si="1331"/>
        <v>0</v>
      </c>
      <c r="FH73" s="6">
        <v>0</v>
      </c>
      <c r="FI73" s="6">
        <f t="shared" si="1332"/>
        <v>0</v>
      </c>
      <c r="FJ73" s="8">
        <v>0</v>
      </c>
      <c r="FK73" s="69">
        <f t="shared" si="1333"/>
        <v>0</v>
      </c>
      <c r="FL73" s="69">
        <f t="shared" si="1334"/>
        <v>0</v>
      </c>
      <c r="FM73" s="149">
        <f t="shared" si="1335"/>
        <v>1</v>
      </c>
      <c r="FN73" s="149">
        <f t="shared" si="1336"/>
        <v>0</v>
      </c>
      <c r="FO73" s="69">
        <f t="shared" si="1337"/>
        <v>0</v>
      </c>
      <c r="FP73" s="6"/>
      <c r="FQ73" s="6">
        <f t="shared" si="1338"/>
        <v>672</v>
      </c>
      <c r="FR73" s="8">
        <v>0</v>
      </c>
      <c r="FS73" s="8">
        <v>25</v>
      </c>
      <c r="FV73" s="8" t="s">
        <v>78</v>
      </c>
      <c r="FW73" s="15">
        <f t="shared" si="1339"/>
        <v>0</v>
      </c>
      <c r="FX73" s="8">
        <v>0</v>
      </c>
      <c r="FY73" s="8">
        <v>0</v>
      </c>
      <c r="FZ73" s="8">
        <v>744</v>
      </c>
      <c r="GA73" s="69">
        <f t="shared" si="1340"/>
        <v>1</v>
      </c>
      <c r="GB73" s="8">
        <v>0</v>
      </c>
      <c r="GC73" s="69">
        <f t="shared" si="1341"/>
        <v>0</v>
      </c>
      <c r="GD73" s="6">
        <v>0</v>
      </c>
      <c r="GE73" s="69">
        <f t="shared" si="1342"/>
        <v>0</v>
      </c>
      <c r="GF73" s="8">
        <v>0</v>
      </c>
      <c r="GG73" s="69">
        <f t="shared" si="1343"/>
        <v>0</v>
      </c>
      <c r="GH73" s="69">
        <f t="shared" si="1344"/>
        <v>0</v>
      </c>
      <c r="GI73" s="149">
        <f t="shared" si="1345"/>
        <v>1</v>
      </c>
      <c r="GJ73" s="149">
        <f t="shared" si="1346"/>
        <v>0</v>
      </c>
      <c r="GK73" s="69">
        <f t="shared" si="1347"/>
        <v>0</v>
      </c>
      <c r="GL73" s="69"/>
      <c r="GM73" s="6">
        <f t="shared" si="1348"/>
        <v>744</v>
      </c>
      <c r="GN73" s="8">
        <v>0</v>
      </c>
      <c r="GO73" s="8">
        <v>25</v>
      </c>
      <c r="GR73" s="8" t="s">
        <v>78</v>
      </c>
      <c r="GS73" s="6">
        <f>$GR$4-GV73-GX73-GZ73</f>
        <v>0</v>
      </c>
      <c r="GT73" s="8">
        <v>0</v>
      </c>
      <c r="GU73" s="8">
        <v>0</v>
      </c>
      <c r="GV73" s="8">
        <v>720</v>
      </c>
      <c r="GW73" s="6">
        <f t="shared" si="1350"/>
        <v>1</v>
      </c>
      <c r="GX73" s="8">
        <v>0</v>
      </c>
      <c r="GY73" s="6">
        <f t="shared" si="1351"/>
        <v>0</v>
      </c>
      <c r="GZ73" s="6">
        <v>0</v>
      </c>
      <c r="HA73" s="6">
        <f t="shared" si="1352"/>
        <v>0</v>
      </c>
      <c r="HB73" s="8">
        <v>0</v>
      </c>
      <c r="HC73" s="69">
        <f t="shared" si="1353"/>
        <v>0</v>
      </c>
      <c r="HD73" s="69">
        <f t="shared" si="1354"/>
        <v>0</v>
      </c>
      <c r="HE73" s="149">
        <f t="shared" si="1355"/>
        <v>1</v>
      </c>
      <c r="HF73" s="149">
        <f t="shared" si="1356"/>
        <v>0</v>
      </c>
      <c r="HG73" s="69">
        <f t="shared" si="1357"/>
        <v>0</v>
      </c>
      <c r="HH73" s="15">
        <v>0</v>
      </c>
      <c r="HI73" s="6">
        <f t="shared" si="1358"/>
        <v>720</v>
      </c>
      <c r="HJ73" s="8">
        <v>0</v>
      </c>
      <c r="HK73" s="8">
        <v>25</v>
      </c>
      <c r="HN73" s="8" t="s">
        <v>78</v>
      </c>
      <c r="HO73" s="8">
        <f t="shared" si="1359"/>
        <v>0</v>
      </c>
      <c r="HP73" s="8">
        <v>0</v>
      </c>
      <c r="HQ73" s="52">
        <v>0</v>
      </c>
      <c r="HR73" s="8">
        <v>744</v>
      </c>
      <c r="HS73" s="6">
        <f t="shared" si="1360"/>
        <v>1</v>
      </c>
      <c r="HT73" s="8">
        <v>0</v>
      </c>
      <c r="HU73" s="6">
        <f t="shared" si="1361"/>
        <v>0</v>
      </c>
      <c r="HV73" s="8">
        <v>0</v>
      </c>
      <c r="HW73" s="6">
        <f t="shared" si="1362"/>
        <v>0</v>
      </c>
      <c r="HX73" s="8">
        <v>0</v>
      </c>
      <c r="HY73" s="69">
        <f t="shared" si="1363"/>
        <v>0</v>
      </c>
      <c r="HZ73" s="69">
        <f t="shared" si="1364"/>
        <v>0</v>
      </c>
      <c r="IA73" s="69">
        <f t="shared" si="1365"/>
        <v>1</v>
      </c>
      <c r="IB73" s="149">
        <f t="shared" si="1366"/>
        <v>0</v>
      </c>
      <c r="IC73" s="69">
        <f t="shared" si="1367"/>
        <v>0</v>
      </c>
      <c r="ID73" s="15">
        <v>0</v>
      </c>
      <c r="IE73" s="6">
        <f t="shared" si="1368"/>
        <v>744</v>
      </c>
      <c r="IF73" s="8">
        <v>0</v>
      </c>
      <c r="IG73" s="8">
        <v>25</v>
      </c>
      <c r="IJ73" s="8" t="s">
        <v>78</v>
      </c>
      <c r="IK73" s="49">
        <f t="shared" si="1369"/>
        <v>0</v>
      </c>
      <c r="IL73" s="49">
        <v>0</v>
      </c>
      <c r="IM73" s="8">
        <v>0</v>
      </c>
      <c r="IN73" s="49">
        <v>720</v>
      </c>
      <c r="IO73" s="69">
        <f t="shared" si="1370"/>
        <v>1</v>
      </c>
      <c r="IP73" s="8">
        <v>0</v>
      </c>
      <c r="IQ73" s="69">
        <f t="shared" si="1371"/>
        <v>0</v>
      </c>
      <c r="IR73" s="6">
        <v>0</v>
      </c>
      <c r="IS73" s="69">
        <f t="shared" si="1371"/>
        <v>0</v>
      </c>
      <c r="IT73" s="8">
        <v>0</v>
      </c>
      <c r="IU73" s="69">
        <f t="shared" si="1372"/>
        <v>0</v>
      </c>
      <c r="IV73" s="69">
        <f t="shared" si="1373"/>
        <v>0</v>
      </c>
      <c r="IW73" s="164">
        <f t="shared" si="1379"/>
        <v>1</v>
      </c>
      <c r="IX73" s="149">
        <f t="shared" si="1374"/>
        <v>0</v>
      </c>
      <c r="IY73" s="69">
        <f t="shared" si="1408"/>
        <v>0</v>
      </c>
      <c r="IZ73" s="15">
        <v>0</v>
      </c>
      <c r="JA73" s="15">
        <f t="shared" si="1375"/>
        <v>720</v>
      </c>
      <c r="JB73" s="94">
        <v>0</v>
      </c>
      <c r="JC73" s="8">
        <v>25</v>
      </c>
      <c r="JE73" s="6"/>
    </row>
    <row r="74" spans="1:265" ht="14.25" x14ac:dyDescent="0.2">
      <c r="B74" s="8" t="s">
        <v>79</v>
      </c>
      <c r="C74" s="8">
        <f t="shared" si="1270"/>
        <v>744</v>
      </c>
      <c r="D74" s="8">
        <v>622</v>
      </c>
      <c r="E74" s="8">
        <v>122</v>
      </c>
      <c r="F74" s="8">
        <v>0</v>
      </c>
      <c r="G74" s="6">
        <f t="shared" si="1271"/>
        <v>0</v>
      </c>
      <c r="H74" s="8">
        <v>0</v>
      </c>
      <c r="I74" s="6">
        <f t="shared" si="1376"/>
        <v>0</v>
      </c>
      <c r="J74" s="8">
        <v>0</v>
      </c>
      <c r="K74" s="6">
        <f t="shared" si="1272"/>
        <v>0</v>
      </c>
      <c r="L74" s="8">
        <v>0</v>
      </c>
      <c r="M74" s="69">
        <f t="shared" si="1261"/>
        <v>1</v>
      </c>
      <c r="N74" s="69">
        <f t="shared" si="1262"/>
        <v>1</v>
      </c>
      <c r="O74" s="69">
        <f t="shared" si="1263"/>
        <v>0</v>
      </c>
      <c r="P74" s="149">
        <f t="shared" si="1264"/>
        <v>0</v>
      </c>
      <c r="Q74" s="69">
        <f t="shared" si="1265"/>
        <v>0.80358424731182798</v>
      </c>
      <c r="R74" s="15">
        <v>0</v>
      </c>
      <c r="S74" s="6">
        <f t="shared" si="1273"/>
        <v>744</v>
      </c>
      <c r="T74" s="85">
        <v>14946.666999999999</v>
      </c>
      <c r="U74" s="8">
        <v>25</v>
      </c>
      <c r="X74" s="8" t="s">
        <v>79</v>
      </c>
      <c r="Y74" s="8">
        <f t="shared" si="1274"/>
        <v>744</v>
      </c>
      <c r="Z74" s="8">
        <v>593</v>
      </c>
      <c r="AA74" s="8">
        <v>151</v>
      </c>
      <c r="AB74" s="8">
        <v>0</v>
      </c>
      <c r="AC74" s="8">
        <f t="shared" si="1275"/>
        <v>0</v>
      </c>
      <c r="AD74" s="8">
        <v>0</v>
      </c>
      <c r="AE74" s="8">
        <f t="shared" si="1276"/>
        <v>0</v>
      </c>
      <c r="AF74" s="8">
        <v>0</v>
      </c>
      <c r="AG74" s="8">
        <f t="shared" si="1276"/>
        <v>0</v>
      </c>
      <c r="AH74" s="8">
        <v>0</v>
      </c>
      <c r="AI74" s="69">
        <f t="shared" si="1277"/>
        <v>1</v>
      </c>
      <c r="AJ74" s="69">
        <f t="shared" si="1278"/>
        <v>1</v>
      </c>
      <c r="AK74" s="69">
        <f t="shared" si="1279"/>
        <v>0</v>
      </c>
      <c r="AL74" s="149">
        <f t="shared" si="1280"/>
        <v>0</v>
      </c>
      <c r="AM74" s="69">
        <f t="shared" si="1281"/>
        <v>0.75809188172043007</v>
      </c>
      <c r="AN74" s="15">
        <v>0</v>
      </c>
      <c r="AO74" s="6">
        <f t="shared" si="1282"/>
        <v>744</v>
      </c>
      <c r="AP74" s="85">
        <v>14100.509</v>
      </c>
      <c r="AQ74" s="8">
        <v>25</v>
      </c>
      <c r="AT74" s="8" t="s">
        <v>79</v>
      </c>
      <c r="AU74" s="8">
        <f t="shared" si="1283"/>
        <v>720</v>
      </c>
      <c r="AV74" s="8">
        <v>688</v>
      </c>
      <c r="AW74" s="17">
        <f t="shared" si="1284"/>
        <v>32</v>
      </c>
      <c r="AX74" s="8">
        <v>0</v>
      </c>
      <c r="AY74" s="6">
        <f t="shared" si="1396"/>
        <v>0</v>
      </c>
      <c r="AZ74" s="8">
        <v>0</v>
      </c>
      <c r="BA74" s="6">
        <f t="shared" si="1396"/>
        <v>0</v>
      </c>
      <c r="BB74" s="8">
        <v>0</v>
      </c>
      <c r="BC74" s="6">
        <f t="shared" ref="BC74" si="1423">(BB74/$AT$4)</f>
        <v>0</v>
      </c>
      <c r="BD74" s="8">
        <v>0</v>
      </c>
      <c r="BE74" s="69">
        <f t="shared" si="1410"/>
        <v>1</v>
      </c>
      <c r="BF74" s="69">
        <f t="shared" si="1411"/>
        <v>1</v>
      </c>
      <c r="BG74" s="69">
        <f t="shared" si="1412"/>
        <v>0</v>
      </c>
      <c r="BH74" s="149">
        <f t="shared" si="1413"/>
        <v>0</v>
      </c>
      <c r="BI74" s="69">
        <f t="shared" si="1414"/>
        <v>0.9206091666666667</v>
      </c>
      <c r="BJ74" s="6"/>
      <c r="BK74" s="6">
        <f t="shared" si="1292"/>
        <v>720</v>
      </c>
      <c r="BL74" s="93">
        <v>16570.965</v>
      </c>
      <c r="BM74" s="8">
        <v>25</v>
      </c>
      <c r="BP74" s="8" t="s">
        <v>79</v>
      </c>
      <c r="BQ74" s="6">
        <f t="shared" si="1293"/>
        <v>744</v>
      </c>
      <c r="BR74" s="8">
        <v>551</v>
      </c>
      <c r="BS74" s="17">
        <f t="shared" si="1294"/>
        <v>193</v>
      </c>
      <c r="BT74" s="8">
        <v>0</v>
      </c>
      <c r="BU74" s="6">
        <f t="shared" si="1295"/>
        <v>0</v>
      </c>
      <c r="BV74" s="8">
        <v>0</v>
      </c>
      <c r="BW74" s="6">
        <f t="shared" si="1295"/>
        <v>0</v>
      </c>
      <c r="BX74" s="6">
        <v>0</v>
      </c>
      <c r="BY74" s="6">
        <f t="shared" ref="BY74" si="1424">(BX74/$BP$4)</f>
        <v>0</v>
      </c>
      <c r="BZ74" s="8">
        <v>0</v>
      </c>
      <c r="CA74" s="69">
        <f t="shared" si="1399"/>
        <v>1</v>
      </c>
      <c r="CB74" s="69">
        <f t="shared" si="1400"/>
        <v>1</v>
      </c>
      <c r="CC74" s="149">
        <f t="shared" si="1401"/>
        <v>0</v>
      </c>
      <c r="CD74" s="149">
        <f t="shared" si="1402"/>
        <v>0</v>
      </c>
      <c r="CE74" s="69">
        <f t="shared" si="1403"/>
        <v>0.7128017741935484</v>
      </c>
      <c r="CF74" s="69"/>
      <c r="CG74" s="42">
        <f t="shared" si="1302"/>
        <v>744</v>
      </c>
      <c r="CH74" s="43">
        <v>13258.112999999999</v>
      </c>
      <c r="CI74" s="8">
        <v>25</v>
      </c>
      <c r="CL74" s="8" t="s">
        <v>79</v>
      </c>
      <c r="CM74" s="6">
        <f t="shared" si="1303"/>
        <v>713.38</v>
      </c>
      <c r="CN74" s="6">
        <v>547.1</v>
      </c>
      <c r="CO74" s="6">
        <v>166.27999999999997</v>
      </c>
      <c r="CP74" s="8">
        <v>6.62</v>
      </c>
      <c r="CQ74" s="6">
        <f t="shared" si="1304"/>
        <v>9.1944444444444443E-3</v>
      </c>
      <c r="CR74" s="8">
        <v>0</v>
      </c>
      <c r="CS74" s="6">
        <f t="shared" si="1305"/>
        <v>0</v>
      </c>
      <c r="CT74" s="6">
        <v>0</v>
      </c>
      <c r="CU74" s="6">
        <f t="shared" si="1306"/>
        <v>0</v>
      </c>
      <c r="CV74" s="8">
        <v>0</v>
      </c>
      <c r="CW74" s="69">
        <f t="shared" si="1386"/>
        <v>0.99080555555555549</v>
      </c>
      <c r="CX74" s="69">
        <f t="shared" si="1387"/>
        <v>0.99080555555555549</v>
      </c>
      <c r="CY74" s="149">
        <f t="shared" si="1388"/>
        <v>1.1955500975222133E-2</v>
      </c>
      <c r="CZ74" s="149">
        <f t="shared" si="1389"/>
        <v>0</v>
      </c>
      <c r="DA74" s="69">
        <f t="shared" si="1390"/>
        <v>0.81754005555555553</v>
      </c>
      <c r="DB74" s="6"/>
      <c r="DC74" s="6">
        <f t="shared" si="1312"/>
        <v>720</v>
      </c>
      <c r="DD74" s="43">
        <v>14715.721</v>
      </c>
      <c r="DE74" s="8">
        <v>25</v>
      </c>
      <c r="DF74" s="6"/>
      <c r="DH74" s="8" t="s">
        <v>79</v>
      </c>
      <c r="DI74" s="6">
        <f t="shared" si="1313"/>
        <v>733.82</v>
      </c>
      <c r="DJ74" s="8">
        <v>626.4</v>
      </c>
      <c r="DK74" s="8">
        <v>107.42000000000007</v>
      </c>
      <c r="DL74" s="8">
        <v>10.18</v>
      </c>
      <c r="DM74" s="69">
        <f t="shared" si="1266"/>
        <v>1.3682795698924732E-2</v>
      </c>
      <c r="DN74" s="8">
        <v>0</v>
      </c>
      <c r="DO74" s="69">
        <f t="shared" si="1267"/>
        <v>0</v>
      </c>
      <c r="DP74" s="91">
        <v>0</v>
      </c>
      <c r="DQ74" s="69">
        <f t="shared" si="1268"/>
        <v>0</v>
      </c>
      <c r="DR74" s="8">
        <v>0</v>
      </c>
      <c r="DS74" s="69">
        <f t="shared" si="1416"/>
        <v>0.98631720430107539</v>
      </c>
      <c r="DT74" s="69">
        <f t="shared" si="1417"/>
        <v>0.98631720430107539</v>
      </c>
      <c r="DU74" s="149">
        <f t="shared" si="1418"/>
        <v>1.5991705677212607E-2</v>
      </c>
      <c r="DV74" s="149">
        <f t="shared" si="1419"/>
        <v>0</v>
      </c>
      <c r="DW74" s="69">
        <f t="shared" si="1420"/>
        <v>0.8472868817204301</v>
      </c>
      <c r="DX74" s="69"/>
      <c r="DY74" s="15">
        <f t="shared" si="1319"/>
        <v>744</v>
      </c>
      <c r="DZ74" s="43">
        <v>15759.536</v>
      </c>
      <c r="EA74" s="8">
        <v>25</v>
      </c>
      <c r="ED74" s="8" t="s">
        <v>79</v>
      </c>
      <c r="EE74" s="6">
        <f t="shared" si="1320"/>
        <v>623.36999999999989</v>
      </c>
      <c r="EF74" s="8">
        <v>422.61</v>
      </c>
      <c r="EG74" s="8">
        <v>200.76</v>
      </c>
      <c r="EH74" s="8">
        <v>23.7</v>
      </c>
      <c r="EI74" s="6">
        <f t="shared" si="1321"/>
        <v>3.1854838709677417E-2</v>
      </c>
      <c r="EJ74" s="8">
        <v>96.93</v>
      </c>
      <c r="EK74" s="6">
        <f t="shared" si="1322"/>
        <v>0.13028225806451613</v>
      </c>
      <c r="EL74" s="6">
        <v>0</v>
      </c>
      <c r="EM74" s="6">
        <f t="shared" si="1323"/>
        <v>0</v>
      </c>
      <c r="EN74" s="8">
        <v>0</v>
      </c>
      <c r="EO74" s="69">
        <f t="shared" si="1324"/>
        <v>0.83786290322580625</v>
      </c>
      <c r="EP74" s="69">
        <f t="shared" si="1325"/>
        <v>0.83786290322580625</v>
      </c>
      <c r="EQ74" s="149">
        <f t="shared" si="1326"/>
        <v>5.3102103918800832E-2</v>
      </c>
      <c r="ER74" s="149"/>
      <c r="ES74" s="69">
        <f t="shared" si="1327"/>
        <v>0.58871327956989239</v>
      </c>
      <c r="ET74" s="6"/>
      <c r="EU74" s="6">
        <f t="shared" si="1328"/>
        <v>744</v>
      </c>
      <c r="EV74" s="85">
        <v>10950.066999999999</v>
      </c>
      <c r="EW74" s="8">
        <v>25</v>
      </c>
      <c r="EZ74" s="8" t="s">
        <v>79</v>
      </c>
      <c r="FA74" s="6">
        <f>$EZ$4-FD74-FF74-FH74</f>
        <v>666.37</v>
      </c>
      <c r="FB74" s="8">
        <v>416.52</v>
      </c>
      <c r="FC74" s="8">
        <v>249.85</v>
      </c>
      <c r="FD74" s="8">
        <v>5.63</v>
      </c>
      <c r="FE74" s="6">
        <f t="shared" si="1330"/>
        <v>8.3779761904761909E-3</v>
      </c>
      <c r="FF74" s="8">
        <v>0</v>
      </c>
      <c r="FG74" s="6">
        <f t="shared" si="1331"/>
        <v>0</v>
      </c>
      <c r="FH74" s="6">
        <v>0</v>
      </c>
      <c r="FI74" s="6">
        <f t="shared" si="1332"/>
        <v>0</v>
      </c>
      <c r="FJ74" s="8">
        <v>0</v>
      </c>
      <c r="FK74" s="69">
        <f t="shared" si="1333"/>
        <v>0.89565860215053761</v>
      </c>
      <c r="FL74" s="69">
        <f t="shared" si="1334"/>
        <v>0.9916220238095238</v>
      </c>
      <c r="FM74" s="149">
        <f t="shared" si="1335"/>
        <v>1.3336491768328794E-2</v>
      </c>
      <c r="FN74" s="149">
        <f t="shared" si="1336"/>
        <v>0</v>
      </c>
      <c r="FO74" s="69">
        <f t="shared" si="1337"/>
        <v>0.62667499999999998</v>
      </c>
      <c r="FP74" s="6"/>
      <c r="FQ74" s="6">
        <f t="shared" si="1338"/>
        <v>672</v>
      </c>
      <c r="FR74" s="43">
        <v>10528.14</v>
      </c>
      <c r="FS74" s="8">
        <v>25</v>
      </c>
      <c r="FV74" s="8" t="s">
        <v>79</v>
      </c>
      <c r="FW74" s="6">
        <f t="shared" si="1339"/>
        <v>698.03</v>
      </c>
      <c r="FX74" s="8">
        <v>605.54999999999995</v>
      </c>
      <c r="FY74" s="8">
        <v>92.48</v>
      </c>
      <c r="FZ74" s="8">
        <v>45.97</v>
      </c>
      <c r="GA74" s="69">
        <f t="shared" si="1340"/>
        <v>6.1787634408602146E-2</v>
      </c>
      <c r="GB74" s="8">
        <v>0</v>
      </c>
      <c r="GC74" s="69">
        <f t="shared" si="1341"/>
        <v>0</v>
      </c>
      <c r="GD74" s="6">
        <v>0</v>
      </c>
      <c r="GE74" s="69">
        <f t="shared" si="1342"/>
        <v>0</v>
      </c>
      <c r="GF74" s="8">
        <v>0</v>
      </c>
      <c r="GG74" s="69">
        <f t="shared" si="1343"/>
        <v>0.93821236559139787</v>
      </c>
      <c r="GH74" s="69">
        <f t="shared" si="1344"/>
        <v>0.93821236559139787</v>
      </c>
      <c r="GI74" s="149">
        <f t="shared" si="1345"/>
        <v>7.0558079567779958E-2</v>
      </c>
      <c r="GJ74" s="149">
        <f t="shared" si="1346"/>
        <v>0</v>
      </c>
      <c r="GK74" s="69">
        <f t="shared" si="1347"/>
        <v>0.76784392473118279</v>
      </c>
      <c r="GL74" s="69"/>
      <c r="GM74" s="6">
        <f t="shared" si="1348"/>
        <v>744</v>
      </c>
      <c r="GN74" s="43">
        <v>14281.897000000001</v>
      </c>
      <c r="GO74" s="8">
        <v>25</v>
      </c>
      <c r="GR74" s="8" t="s">
        <v>79</v>
      </c>
      <c r="GS74" s="6">
        <f t="shared" si="1349"/>
        <v>720</v>
      </c>
      <c r="GT74" s="8">
        <v>631.45000000000005</v>
      </c>
      <c r="GU74" s="8">
        <v>88.55</v>
      </c>
      <c r="GV74" s="8">
        <v>0</v>
      </c>
      <c r="GW74" s="6">
        <f t="shared" si="1350"/>
        <v>0</v>
      </c>
      <c r="GX74" s="8">
        <v>0</v>
      </c>
      <c r="GY74" s="6">
        <f t="shared" si="1351"/>
        <v>0</v>
      </c>
      <c r="GZ74" s="6">
        <v>0</v>
      </c>
      <c r="HA74" s="6">
        <f t="shared" si="1352"/>
        <v>0</v>
      </c>
      <c r="HB74" s="8">
        <v>0</v>
      </c>
      <c r="HC74" s="69">
        <f t="shared" si="1353"/>
        <v>0.967741935483871</v>
      </c>
      <c r="HD74" s="69">
        <f t="shared" si="1354"/>
        <v>1</v>
      </c>
      <c r="HE74" s="149">
        <f t="shared" si="1355"/>
        <v>0</v>
      </c>
      <c r="HF74" s="149">
        <f t="shared" si="1356"/>
        <v>0</v>
      </c>
      <c r="HG74" s="69">
        <f t="shared" si="1357"/>
        <v>0.83040944444444453</v>
      </c>
      <c r="HH74" s="15">
        <v>0</v>
      </c>
      <c r="HI74" s="6">
        <f t="shared" si="1358"/>
        <v>720</v>
      </c>
      <c r="HJ74" s="85">
        <v>14947.37</v>
      </c>
      <c r="HK74" s="8">
        <v>25</v>
      </c>
      <c r="HN74" s="8" t="s">
        <v>79</v>
      </c>
      <c r="HO74" s="8">
        <f>$HN$4-HR74-HT74-HV74</f>
        <v>707.25</v>
      </c>
      <c r="HP74" s="8">
        <v>533.85</v>
      </c>
      <c r="HQ74" s="52">
        <v>173.4</v>
      </c>
      <c r="HR74" s="8">
        <v>36.75</v>
      </c>
      <c r="HS74" s="6">
        <f t="shared" si="1360"/>
        <v>4.9395161290322578E-2</v>
      </c>
      <c r="HT74" s="8">
        <v>0</v>
      </c>
      <c r="HU74" s="6">
        <f t="shared" si="1361"/>
        <v>0</v>
      </c>
      <c r="HV74" s="8">
        <v>0</v>
      </c>
      <c r="HW74" s="6">
        <f t="shared" si="1362"/>
        <v>0</v>
      </c>
      <c r="HX74" s="8">
        <v>0</v>
      </c>
      <c r="HY74" s="69">
        <f t="shared" si="1363"/>
        <v>0.95060483870967738</v>
      </c>
      <c r="HZ74" s="69">
        <f t="shared" si="1364"/>
        <v>0.95060483870967738</v>
      </c>
      <c r="IA74" s="69">
        <f t="shared" si="1365"/>
        <v>6.4405888538380654E-2</v>
      </c>
      <c r="IB74" s="149">
        <f t="shared" si="1366"/>
        <v>0</v>
      </c>
      <c r="IC74" s="69">
        <f t="shared" si="1367"/>
        <v>0.70462741935483875</v>
      </c>
      <c r="ID74" s="15">
        <v>2</v>
      </c>
      <c r="IE74" s="6">
        <f t="shared" si="1368"/>
        <v>744</v>
      </c>
      <c r="IF74" s="85">
        <v>13106.07</v>
      </c>
      <c r="IG74" s="8">
        <v>25</v>
      </c>
      <c r="IJ74" s="8" t="s">
        <v>79</v>
      </c>
      <c r="IK74" s="49">
        <f t="shared" si="1369"/>
        <v>688.47</v>
      </c>
      <c r="IL74" s="49">
        <v>569.53</v>
      </c>
      <c r="IM74" s="8">
        <v>118.94000000000005</v>
      </c>
      <c r="IN74" s="49">
        <v>31.53</v>
      </c>
      <c r="IO74" s="69">
        <f t="shared" si="1370"/>
        <v>4.3791666666666666E-2</v>
      </c>
      <c r="IP74" s="8">
        <v>0</v>
      </c>
      <c r="IQ74" s="69">
        <f t="shared" si="1371"/>
        <v>0</v>
      </c>
      <c r="IR74" s="6">
        <v>0</v>
      </c>
      <c r="IS74" s="69">
        <f t="shared" si="1371"/>
        <v>0</v>
      </c>
      <c r="IT74" s="8">
        <v>0</v>
      </c>
      <c r="IU74" s="69">
        <f t="shared" si="1372"/>
        <v>0.95620833333333333</v>
      </c>
      <c r="IV74" s="69">
        <f t="shared" si="1373"/>
        <v>0.95620833333333333</v>
      </c>
      <c r="IW74" s="164">
        <f>IF((AND(IL74=0,IN74=0)),0,(IN74+IT74)/(IL74+IN74+IT74))</f>
        <v>5.2457325391807814E-2</v>
      </c>
      <c r="IX74" s="149">
        <f t="shared" si="1374"/>
        <v>0</v>
      </c>
      <c r="IY74" s="69">
        <f t="shared" si="1408"/>
        <v>0.77761072222222227</v>
      </c>
      <c r="IZ74" s="15">
        <v>1</v>
      </c>
      <c r="JA74" s="15">
        <f t="shared" si="1375"/>
        <v>720</v>
      </c>
      <c r="JB74" s="92">
        <v>13996.993</v>
      </c>
      <c r="JC74" s="8">
        <v>25</v>
      </c>
      <c r="JE74" s="6"/>
    </row>
    <row r="75" spans="1:265" ht="15" x14ac:dyDescent="0.2">
      <c r="A75" s="74" t="s">
        <v>80</v>
      </c>
      <c r="B75" s="37" t="s">
        <v>70</v>
      </c>
      <c r="C75" s="8">
        <f t="shared" si="1270"/>
        <v>744</v>
      </c>
      <c r="D75" s="8">
        <v>696</v>
      </c>
      <c r="E75" s="8">
        <v>48</v>
      </c>
      <c r="F75" s="8">
        <v>0</v>
      </c>
      <c r="G75" s="6">
        <f t="shared" si="1271"/>
        <v>0</v>
      </c>
      <c r="H75" s="8">
        <v>0</v>
      </c>
      <c r="I75" s="6">
        <f t="shared" si="1376"/>
        <v>0</v>
      </c>
      <c r="J75" s="8">
        <v>0</v>
      </c>
      <c r="K75" s="6">
        <f t="shared" si="1272"/>
        <v>0</v>
      </c>
      <c r="L75" s="8">
        <v>0</v>
      </c>
      <c r="M75" s="69">
        <f t="shared" si="1261"/>
        <v>1</v>
      </c>
      <c r="N75" s="69">
        <f t="shared" si="1262"/>
        <v>1</v>
      </c>
      <c r="O75" s="69">
        <f t="shared" si="1263"/>
        <v>0</v>
      </c>
      <c r="P75" s="149">
        <f t="shared" si="1264"/>
        <v>0</v>
      </c>
      <c r="Q75" s="69">
        <f t="shared" si="1265"/>
        <v>0.90830026881720427</v>
      </c>
      <c r="R75" s="15">
        <v>0</v>
      </c>
      <c r="S75" s="6">
        <f t="shared" si="1273"/>
        <v>744</v>
      </c>
      <c r="T75" s="85">
        <v>16894.384999999998</v>
      </c>
      <c r="U75" s="8">
        <v>25</v>
      </c>
      <c r="W75" s="74" t="s">
        <v>80</v>
      </c>
      <c r="X75" s="37" t="s">
        <v>70</v>
      </c>
      <c r="Y75" s="8">
        <f>$X$4-AB75-AD75-AF75</f>
        <v>744</v>
      </c>
      <c r="Z75" s="8">
        <v>676</v>
      </c>
      <c r="AA75" s="8">
        <v>68</v>
      </c>
      <c r="AB75" s="8">
        <v>0</v>
      </c>
      <c r="AC75" s="8">
        <f t="shared" si="1275"/>
        <v>0</v>
      </c>
      <c r="AD75" s="8">
        <v>0</v>
      </c>
      <c r="AE75" s="8">
        <f t="shared" si="1276"/>
        <v>0</v>
      </c>
      <c r="AF75" s="8">
        <v>0</v>
      </c>
      <c r="AG75" s="8">
        <f t="shared" si="1276"/>
        <v>0</v>
      </c>
      <c r="AH75" s="8">
        <v>0</v>
      </c>
      <c r="AI75" s="69">
        <f t="shared" si="1277"/>
        <v>1</v>
      </c>
      <c r="AJ75" s="69">
        <f t="shared" si="1278"/>
        <v>1</v>
      </c>
      <c r="AK75" s="69">
        <f t="shared" si="1279"/>
        <v>0</v>
      </c>
      <c r="AL75" s="149">
        <f t="shared" si="1280"/>
        <v>0</v>
      </c>
      <c r="AM75" s="69">
        <f t="shared" si="1281"/>
        <v>0.87378311827956989</v>
      </c>
      <c r="AN75" s="15">
        <v>0</v>
      </c>
      <c r="AO75" s="6">
        <f t="shared" si="1282"/>
        <v>744</v>
      </c>
      <c r="AP75" s="85">
        <v>16252.366</v>
      </c>
      <c r="AQ75" s="8">
        <v>25</v>
      </c>
      <c r="AS75" s="74" t="s">
        <v>80</v>
      </c>
      <c r="AT75" s="37" t="s">
        <v>70</v>
      </c>
      <c r="AU75" s="8">
        <f t="shared" si="1283"/>
        <v>720</v>
      </c>
      <c r="AV75" s="8">
        <v>652</v>
      </c>
      <c r="AW75" s="17">
        <f>720-AV75</f>
        <v>68</v>
      </c>
      <c r="AX75" s="8">
        <v>0</v>
      </c>
      <c r="AY75" s="6">
        <f t="shared" si="1396"/>
        <v>0</v>
      </c>
      <c r="AZ75" s="8">
        <v>0</v>
      </c>
      <c r="BA75" s="6">
        <f t="shared" si="1396"/>
        <v>0</v>
      </c>
      <c r="BB75" s="8">
        <v>0</v>
      </c>
      <c r="BC75" s="6">
        <f t="shared" ref="BC75" si="1425">(BB75/$AT$4)</f>
        <v>0</v>
      </c>
      <c r="BD75" s="8">
        <v>0</v>
      </c>
      <c r="BE75" s="69">
        <f t="shared" si="1410"/>
        <v>1</v>
      </c>
      <c r="BF75" s="69">
        <f t="shared" si="1411"/>
        <v>1</v>
      </c>
      <c r="BG75" s="69">
        <f t="shared" si="1412"/>
        <v>0</v>
      </c>
      <c r="BH75" s="149">
        <f t="shared" si="1413"/>
        <v>0</v>
      </c>
      <c r="BI75" s="69">
        <f t="shared" si="1414"/>
        <v>0.87878749999999994</v>
      </c>
      <c r="BJ75" s="6"/>
      <c r="BK75" s="6">
        <f t="shared" si="1292"/>
        <v>720</v>
      </c>
      <c r="BL75" s="93">
        <v>15818.174999999999</v>
      </c>
      <c r="BM75" s="8">
        <v>25</v>
      </c>
      <c r="BO75" s="74" t="s">
        <v>80</v>
      </c>
      <c r="BP75" s="37" t="s">
        <v>70</v>
      </c>
      <c r="BQ75" s="6">
        <f t="shared" si="1293"/>
        <v>744</v>
      </c>
      <c r="BR75" s="8">
        <v>639</v>
      </c>
      <c r="BS75" s="17">
        <f>744-BR75</f>
        <v>105</v>
      </c>
      <c r="BT75" s="8">
        <v>0</v>
      </c>
      <c r="BU75" s="6">
        <f t="shared" si="1295"/>
        <v>0</v>
      </c>
      <c r="BV75" s="8">
        <v>0</v>
      </c>
      <c r="BW75" s="6">
        <f t="shared" si="1295"/>
        <v>0</v>
      </c>
      <c r="BX75" s="6">
        <v>0</v>
      </c>
      <c r="BY75" s="6">
        <f t="shared" ref="BY75" si="1426">(BX75/$BP$4)</f>
        <v>0</v>
      </c>
      <c r="BZ75" s="8">
        <v>0</v>
      </c>
      <c r="CA75" s="69">
        <f t="shared" si="1399"/>
        <v>1</v>
      </c>
      <c r="CB75" s="69">
        <f t="shared" si="1400"/>
        <v>1</v>
      </c>
      <c r="CC75" s="149">
        <f t="shared" si="1401"/>
        <v>0</v>
      </c>
      <c r="CD75" s="149">
        <f t="shared" si="1402"/>
        <v>0</v>
      </c>
      <c r="CE75" s="69">
        <f t="shared" si="1403"/>
        <v>0.83295725806451604</v>
      </c>
      <c r="CF75" s="69"/>
      <c r="CG75" s="42">
        <f t="shared" si="1302"/>
        <v>744</v>
      </c>
      <c r="CH75" s="43">
        <v>15493.004999999999</v>
      </c>
      <c r="CI75" s="8">
        <v>25</v>
      </c>
      <c r="CK75" s="74" t="s">
        <v>80</v>
      </c>
      <c r="CL75" s="37" t="s">
        <v>70</v>
      </c>
      <c r="CM75" s="6">
        <f t="shared" si="1303"/>
        <v>720</v>
      </c>
      <c r="CN75" s="8">
        <v>651.04</v>
      </c>
      <c r="CO75" s="6">
        <v>68.960000000000036</v>
      </c>
      <c r="CP75" s="8">
        <v>0</v>
      </c>
      <c r="CQ75" s="6">
        <f>(CP75/$CL$4)</f>
        <v>0</v>
      </c>
      <c r="CR75" s="8">
        <v>0</v>
      </c>
      <c r="CS75" s="6">
        <f t="shared" si="1305"/>
        <v>0</v>
      </c>
      <c r="CT75" s="6">
        <v>0</v>
      </c>
      <c r="CU75" s="6">
        <f t="shared" si="1306"/>
        <v>0</v>
      </c>
      <c r="CV75" s="8">
        <v>0</v>
      </c>
      <c r="CW75" s="69">
        <f t="shared" si="1386"/>
        <v>1</v>
      </c>
      <c r="CX75" s="69">
        <f t="shared" si="1387"/>
        <v>1</v>
      </c>
      <c r="CY75" s="149">
        <f t="shared" si="1388"/>
        <v>0</v>
      </c>
      <c r="CZ75" s="149">
        <f t="shared" si="1389"/>
        <v>0</v>
      </c>
      <c r="DA75" s="69">
        <f t="shared" si="1390"/>
        <v>0.8656759444444444</v>
      </c>
      <c r="DB75" s="6"/>
      <c r="DC75" s="6">
        <f t="shared" si="1312"/>
        <v>720</v>
      </c>
      <c r="DD75" s="43">
        <v>15582.166999999999</v>
      </c>
      <c r="DE75" s="8">
        <v>25</v>
      </c>
      <c r="DF75" s="6"/>
      <c r="DG75" s="74" t="s">
        <v>80</v>
      </c>
      <c r="DH75" s="37" t="s">
        <v>70</v>
      </c>
      <c r="DI75" s="6">
        <f t="shared" si="1313"/>
        <v>684.66</v>
      </c>
      <c r="DJ75" s="8">
        <v>590.41</v>
      </c>
      <c r="DK75" s="8">
        <v>94.25</v>
      </c>
      <c r="DL75" s="8">
        <v>0</v>
      </c>
      <c r="DM75" s="69">
        <f t="shared" si="1266"/>
        <v>0</v>
      </c>
      <c r="DN75" s="8">
        <v>0</v>
      </c>
      <c r="DO75" s="69">
        <f t="shared" si="1267"/>
        <v>0</v>
      </c>
      <c r="DP75" s="91">
        <v>59.34</v>
      </c>
      <c r="DQ75" s="69">
        <f t="shared" si="1268"/>
        <v>7.9758064516129032E-2</v>
      </c>
      <c r="DR75" s="8">
        <v>0</v>
      </c>
      <c r="DS75" s="69">
        <f t="shared" si="1416"/>
        <v>0.9202419354838709</v>
      </c>
      <c r="DT75" s="69">
        <f t="shared" si="1417"/>
        <v>0.9202419354838709</v>
      </c>
      <c r="DU75" s="149">
        <f t="shared" si="1418"/>
        <v>0</v>
      </c>
      <c r="DV75" s="149">
        <f t="shared" si="1419"/>
        <v>0</v>
      </c>
      <c r="DW75" s="69">
        <f t="shared" si="1420"/>
        <v>0.79672655913978496</v>
      </c>
      <c r="DX75" s="69"/>
      <c r="DY75" s="15">
        <f t="shared" si="1319"/>
        <v>744</v>
      </c>
      <c r="DZ75" s="43">
        <v>14819.114</v>
      </c>
      <c r="EA75" s="8">
        <v>25</v>
      </c>
      <c r="EC75" s="74" t="s">
        <v>80</v>
      </c>
      <c r="ED75" s="37" t="s">
        <v>70</v>
      </c>
      <c r="EE75" s="6">
        <f t="shared" si="1320"/>
        <v>727.02</v>
      </c>
      <c r="EF75" s="8">
        <v>593.70000000000005</v>
      </c>
      <c r="EG75" s="8">
        <v>133.32</v>
      </c>
      <c r="EH75" s="8">
        <v>16.98</v>
      </c>
      <c r="EI75" s="6">
        <f t="shared" si="1321"/>
        <v>2.2822580645161291E-2</v>
      </c>
      <c r="EJ75" s="8">
        <v>0</v>
      </c>
      <c r="EK75" s="6">
        <f t="shared" si="1322"/>
        <v>0</v>
      </c>
      <c r="EL75" s="6">
        <v>0</v>
      </c>
      <c r="EM75" s="6">
        <f t="shared" si="1323"/>
        <v>0</v>
      </c>
      <c r="EN75" s="8">
        <v>0</v>
      </c>
      <c r="EO75" s="69">
        <f t="shared" si="1324"/>
        <v>0.97717741935483871</v>
      </c>
      <c r="EP75" s="69">
        <f t="shared" si="1325"/>
        <v>0.97717741935483871</v>
      </c>
      <c r="EQ75" s="149">
        <f t="shared" si="1326"/>
        <v>2.7805069758302218E-2</v>
      </c>
      <c r="ER75" s="149"/>
      <c r="ES75" s="69">
        <f t="shared" si="1327"/>
        <v>0.77551112903225805</v>
      </c>
      <c r="ET75" s="6"/>
      <c r="EU75" s="6">
        <f t="shared" si="1328"/>
        <v>744</v>
      </c>
      <c r="EV75" s="85">
        <v>14424.507</v>
      </c>
      <c r="EW75" s="8">
        <v>25</v>
      </c>
      <c r="EY75" s="74" t="s">
        <v>80</v>
      </c>
      <c r="EZ75" s="37" t="s">
        <v>70</v>
      </c>
      <c r="FA75" s="6">
        <f t="shared" si="1329"/>
        <v>672</v>
      </c>
      <c r="FB75" s="8">
        <v>301.27999999999997</v>
      </c>
      <c r="FC75" s="8">
        <v>370.72</v>
      </c>
      <c r="FD75" s="8">
        <v>0</v>
      </c>
      <c r="FE75" s="6">
        <f t="shared" si="1330"/>
        <v>0</v>
      </c>
      <c r="FF75" s="8">
        <v>0</v>
      </c>
      <c r="FG75" s="6">
        <f t="shared" si="1331"/>
        <v>0</v>
      </c>
      <c r="FH75" s="6">
        <v>0</v>
      </c>
      <c r="FI75" s="6">
        <f t="shared" si="1332"/>
        <v>0</v>
      </c>
      <c r="FJ75" s="8">
        <v>0</v>
      </c>
      <c r="FK75" s="69">
        <f t="shared" si="1333"/>
        <v>0.90322580645161288</v>
      </c>
      <c r="FL75" s="69">
        <f t="shared" si="1334"/>
        <v>1</v>
      </c>
      <c r="FM75" s="149">
        <f t="shared" si="1335"/>
        <v>0</v>
      </c>
      <c r="FN75" s="149">
        <f t="shared" si="1336"/>
        <v>0</v>
      </c>
      <c r="FO75" s="69">
        <f t="shared" si="1337"/>
        <v>0.42074595238095241</v>
      </c>
      <c r="FP75" s="6"/>
      <c r="FQ75" s="6">
        <f t="shared" si="1338"/>
        <v>672</v>
      </c>
      <c r="FR75" s="43">
        <v>7068.5320000000002</v>
      </c>
      <c r="FS75" s="8">
        <v>25</v>
      </c>
      <c r="FU75" s="74" t="s">
        <v>80</v>
      </c>
      <c r="FV75" s="37" t="s">
        <v>70</v>
      </c>
      <c r="FW75" s="6">
        <f t="shared" si="1339"/>
        <v>744</v>
      </c>
      <c r="FX75" s="8">
        <v>623.23</v>
      </c>
      <c r="FY75" s="8">
        <v>120.77</v>
      </c>
      <c r="FZ75" s="8">
        <v>0</v>
      </c>
      <c r="GA75" s="69">
        <f t="shared" si="1340"/>
        <v>0</v>
      </c>
      <c r="GB75" s="8">
        <v>0</v>
      </c>
      <c r="GC75" s="69">
        <f t="shared" si="1341"/>
        <v>0</v>
      </c>
      <c r="GD75" s="6">
        <v>0</v>
      </c>
      <c r="GE75" s="69">
        <f t="shared" si="1342"/>
        <v>0</v>
      </c>
      <c r="GF75" s="8">
        <v>0</v>
      </c>
      <c r="GG75" s="69">
        <f t="shared" si="1343"/>
        <v>1</v>
      </c>
      <c r="GH75" s="69">
        <f t="shared" si="1344"/>
        <v>1</v>
      </c>
      <c r="GI75" s="149">
        <f t="shared" si="1345"/>
        <v>0</v>
      </c>
      <c r="GJ75" s="149">
        <f t="shared" si="1346"/>
        <v>0</v>
      </c>
      <c r="GK75" s="69">
        <f t="shared" si="1347"/>
        <v>0.82644268817204303</v>
      </c>
      <c r="GL75" s="69"/>
      <c r="GM75" s="6">
        <f t="shared" si="1348"/>
        <v>744</v>
      </c>
      <c r="GN75" s="43">
        <v>15371.834000000001</v>
      </c>
      <c r="GO75" s="8">
        <v>25</v>
      </c>
      <c r="GQ75" s="74" t="s">
        <v>80</v>
      </c>
      <c r="GR75" s="37" t="s">
        <v>70</v>
      </c>
      <c r="GS75" s="6">
        <f t="shared" si="1349"/>
        <v>718.32</v>
      </c>
      <c r="GT75" s="8">
        <v>619.16999999999996</v>
      </c>
      <c r="GU75" s="8">
        <v>99.15</v>
      </c>
      <c r="GV75" s="8">
        <v>1.68</v>
      </c>
      <c r="GW75" s="6">
        <f t="shared" si="1350"/>
        <v>2.3333333333333331E-3</v>
      </c>
      <c r="GX75" s="8">
        <v>0</v>
      </c>
      <c r="GY75" s="6">
        <f t="shared" si="1351"/>
        <v>0</v>
      </c>
      <c r="GZ75" s="6">
        <v>0</v>
      </c>
      <c r="HA75" s="6">
        <f t="shared" si="1352"/>
        <v>0</v>
      </c>
      <c r="HB75" s="8">
        <v>0</v>
      </c>
      <c r="HC75" s="69">
        <f t="shared" si="1353"/>
        <v>0.96548387096774202</v>
      </c>
      <c r="HD75" s="69">
        <f t="shared" si="1354"/>
        <v>0.9976666666666667</v>
      </c>
      <c r="HE75" s="149">
        <f t="shared" si="1355"/>
        <v>2.7059676250302009E-3</v>
      </c>
      <c r="HF75" s="149">
        <f t="shared" si="1356"/>
        <v>0</v>
      </c>
      <c r="HG75" s="69">
        <f t="shared" si="1357"/>
        <v>0.84672833333333342</v>
      </c>
      <c r="HH75" s="15">
        <v>0</v>
      </c>
      <c r="HI75" s="6">
        <f t="shared" si="1358"/>
        <v>719.99999999999989</v>
      </c>
      <c r="HJ75" s="85">
        <v>15241.11</v>
      </c>
      <c r="HK75" s="8">
        <v>25</v>
      </c>
      <c r="HM75" s="74" t="s">
        <v>80</v>
      </c>
      <c r="HN75" s="37" t="s">
        <v>70</v>
      </c>
      <c r="HO75" s="8">
        <f t="shared" si="1359"/>
        <v>744</v>
      </c>
      <c r="HP75" s="8">
        <v>575.21</v>
      </c>
      <c r="HQ75" s="52">
        <v>168.78999999999996</v>
      </c>
      <c r="HR75" s="8">
        <v>0</v>
      </c>
      <c r="HS75" s="6">
        <f t="shared" si="1360"/>
        <v>0</v>
      </c>
      <c r="HT75" s="8">
        <v>0</v>
      </c>
      <c r="HU75" s="6">
        <f t="shared" si="1361"/>
        <v>0</v>
      </c>
      <c r="HV75" s="8">
        <v>0</v>
      </c>
      <c r="HW75" s="6">
        <f t="shared" si="1362"/>
        <v>0</v>
      </c>
      <c r="HX75" s="8">
        <v>0</v>
      </c>
      <c r="HY75" s="69">
        <f t="shared" si="1363"/>
        <v>1</v>
      </c>
      <c r="HZ75" s="69">
        <f t="shared" si="1364"/>
        <v>1</v>
      </c>
      <c r="IA75" s="69">
        <f t="shared" si="1365"/>
        <v>0</v>
      </c>
      <c r="IB75" s="149">
        <f t="shared" si="1366"/>
        <v>0</v>
      </c>
      <c r="IC75" s="69">
        <f t="shared" si="1367"/>
        <v>0.76058333333333339</v>
      </c>
      <c r="ID75" s="15">
        <v>0</v>
      </c>
      <c r="IE75" s="6">
        <f t="shared" si="1368"/>
        <v>744</v>
      </c>
      <c r="IF75" s="85">
        <v>14146.85</v>
      </c>
      <c r="IG75" s="8">
        <v>25</v>
      </c>
      <c r="II75" s="74" t="s">
        <v>80</v>
      </c>
      <c r="IJ75" s="37" t="s">
        <v>70</v>
      </c>
      <c r="IK75" s="49">
        <f t="shared" si="1369"/>
        <v>720</v>
      </c>
      <c r="IL75" s="49">
        <v>525.19000000000005</v>
      </c>
      <c r="IM75" s="8">
        <v>194.80999999999995</v>
      </c>
      <c r="IN75" s="49">
        <v>0</v>
      </c>
      <c r="IO75" s="69">
        <f t="shared" si="1370"/>
        <v>0</v>
      </c>
      <c r="IP75" s="8">
        <v>0</v>
      </c>
      <c r="IQ75" s="69">
        <f t="shared" si="1371"/>
        <v>0</v>
      </c>
      <c r="IR75" s="6">
        <v>0</v>
      </c>
      <c r="IS75" s="69">
        <f t="shared" si="1371"/>
        <v>0</v>
      </c>
      <c r="IT75" s="8">
        <v>0</v>
      </c>
      <c r="IU75" s="69">
        <f t="shared" si="1372"/>
        <v>1</v>
      </c>
      <c r="IV75" s="69">
        <f t="shared" si="1373"/>
        <v>1</v>
      </c>
      <c r="IW75" s="164">
        <f>IF((AND(IL75=0,IN75=0)),0,(IN75+IT75)/(IL75+IN75+IT75))</f>
        <v>0</v>
      </c>
      <c r="IX75" s="149">
        <f t="shared" si="1374"/>
        <v>0</v>
      </c>
      <c r="IY75" s="69">
        <f t="shared" si="1408"/>
        <v>0.72658705555555547</v>
      </c>
      <c r="IZ75" s="15">
        <v>0</v>
      </c>
      <c r="JA75" s="15">
        <f t="shared" si="1375"/>
        <v>720</v>
      </c>
      <c r="JB75" s="92">
        <v>13078.566999999999</v>
      </c>
      <c r="JC75" s="8">
        <v>25</v>
      </c>
      <c r="JE75" s="6"/>
    </row>
    <row r="76" spans="1:265" ht="14.25" x14ac:dyDescent="0.2">
      <c r="B76" s="37" t="s">
        <v>71</v>
      </c>
      <c r="C76" s="8">
        <f t="shared" si="1270"/>
        <v>744</v>
      </c>
      <c r="D76" s="8">
        <v>681</v>
      </c>
      <c r="E76" s="8">
        <v>63</v>
      </c>
      <c r="F76" s="8">
        <v>0</v>
      </c>
      <c r="G76" s="6">
        <f t="shared" si="1271"/>
        <v>0</v>
      </c>
      <c r="H76" s="8">
        <v>0</v>
      </c>
      <c r="I76" s="6">
        <f t="shared" si="1376"/>
        <v>0</v>
      </c>
      <c r="J76" s="8">
        <v>0</v>
      </c>
      <c r="K76" s="6">
        <f t="shared" si="1272"/>
        <v>0</v>
      </c>
      <c r="L76" s="8">
        <v>0</v>
      </c>
      <c r="M76" s="69">
        <f t="shared" si="1261"/>
        <v>1</v>
      </c>
      <c r="N76" s="69">
        <f t="shared" si="1262"/>
        <v>1</v>
      </c>
      <c r="O76" s="69">
        <f t="shared" si="1263"/>
        <v>0</v>
      </c>
      <c r="P76" s="149">
        <f t="shared" si="1264"/>
        <v>0</v>
      </c>
      <c r="Q76" s="69">
        <f t="shared" si="1265"/>
        <v>0.85966188172043012</v>
      </c>
      <c r="R76" s="15">
        <v>0</v>
      </c>
      <c r="S76" s="6">
        <f t="shared" si="1273"/>
        <v>744</v>
      </c>
      <c r="T76" s="85">
        <v>15989.710999999999</v>
      </c>
      <c r="U76" s="8">
        <v>25</v>
      </c>
      <c r="X76" s="37" t="s">
        <v>71</v>
      </c>
      <c r="Y76" s="8">
        <f t="shared" si="1274"/>
        <v>744</v>
      </c>
      <c r="Z76" s="8">
        <v>681</v>
      </c>
      <c r="AA76" s="8">
        <v>63</v>
      </c>
      <c r="AB76" s="8">
        <v>0</v>
      </c>
      <c r="AC76" s="8">
        <f t="shared" si="1275"/>
        <v>0</v>
      </c>
      <c r="AD76" s="8">
        <v>0</v>
      </c>
      <c r="AE76" s="8">
        <f t="shared" si="1276"/>
        <v>0</v>
      </c>
      <c r="AF76" s="8">
        <v>0</v>
      </c>
      <c r="AG76" s="8">
        <f t="shared" si="1276"/>
        <v>0</v>
      </c>
      <c r="AH76" s="8">
        <v>0</v>
      </c>
      <c r="AI76" s="69">
        <f t="shared" si="1277"/>
        <v>1</v>
      </c>
      <c r="AJ76" s="69">
        <f t="shared" si="1278"/>
        <v>1</v>
      </c>
      <c r="AK76" s="69">
        <f t="shared" si="1279"/>
        <v>0</v>
      </c>
      <c r="AL76" s="149">
        <f t="shared" si="1280"/>
        <v>0</v>
      </c>
      <c r="AM76" s="69">
        <f t="shared" si="1281"/>
        <v>0.88469198924731185</v>
      </c>
      <c r="AN76" s="15">
        <v>0</v>
      </c>
      <c r="AO76" s="6">
        <f t="shared" si="1282"/>
        <v>744</v>
      </c>
      <c r="AP76" s="85">
        <v>16455.271000000001</v>
      </c>
      <c r="AQ76" s="8">
        <v>25</v>
      </c>
      <c r="AT76" s="37" t="s">
        <v>71</v>
      </c>
      <c r="AU76" s="8">
        <f t="shared" si="1283"/>
        <v>720</v>
      </c>
      <c r="AV76" s="8">
        <v>650</v>
      </c>
      <c r="AW76" s="17">
        <f>720-AV76</f>
        <v>70</v>
      </c>
      <c r="AX76" s="8">
        <v>0</v>
      </c>
      <c r="AY76" s="6">
        <f t="shared" si="1396"/>
        <v>0</v>
      </c>
      <c r="AZ76" s="8">
        <v>0</v>
      </c>
      <c r="BA76" s="6">
        <f t="shared" si="1396"/>
        <v>0</v>
      </c>
      <c r="BB76" s="8">
        <v>0</v>
      </c>
      <c r="BC76" s="6">
        <f t="shared" ref="BC76" si="1427">(BB76/$AT$4)</f>
        <v>0</v>
      </c>
      <c r="BD76" s="8">
        <v>0</v>
      </c>
      <c r="BE76" s="69">
        <f t="shared" si="1410"/>
        <v>1</v>
      </c>
      <c r="BF76" s="69">
        <f t="shared" si="1411"/>
        <v>1</v>
      </c>
      <c r="BG76" s="69">
        <f t="shared" si="1412"/>
        <v>0</v>
      </c>
      <c r="BH76" s="149">
        <f t="shared" si="1413"/>
        <v>0</v>
      </c>
      <c r="BI76" s="69">
        <f t="shared" si="1414"/>
        <v>0.85858072222222215</v>
      </c>
      <c r="BJ76" s="6"/>
      <c r="BK76" s="6">
        <f t="shared" si="1292"/>
        <v>720</v>
      </c>
      <c r="BL76" s="93">
        <v>15454.453</v>
      </c>
      <c r="BM76" s="8">
        <v>25</v>
      </c>
      <c r="BP76" s="37" t="s">
        <v>71</v>
      </c>
      <c r="BQ76" s="6">
        <f t="shared" si="1293"/>
        <v>744</v>
      </c>
      <c r="BR76" s="8">
        <v>625</v>
      </c>
      <c r="BS76" s="17">
        <f>744-BR76</f>
        <v>119</v>
      </c>
      <c r="BT76" s="8">
        <v>0</v>
      </c>
      <c r="BU76" s="6">
        <f t="shared" si="1295"/>
        <v>0</v>
      </c>
      <c r="BV76" s="8">
        <v>0</v>
      </c>
      <c r="BW76" s="6">
        <f t="shared" si="1295"/>
        <v>0</v>
      </c>
      <c r="BX76" s="6">
        <v>0</v>
      </c>
      <c r="BY76" s="6">
        <f t="shared" ref="BY76" si="1428">(BX76/$BP$4)</f>
        <v>0</v>
      </c>
      <c r="BZ76" s="8">
        <v>0</v>
      </c>
      <c r="CA76" s="69">
        <f t="shared" si="1399"/>
        <v>1</v>
      </c>
      <c r="CB76" s="69">
        <f t="shared" si="1400"/>
        <v>1</v>
      </c>
      <c r="CC76" s="149">
        <f t="shared" si="1401"/>
        <v>0</v>
      </c>
      <c r="CD76" s="149">
        <f t="shared" si="1402"/>
        <v>0</v>
      </c>
      <c r="CE76" s="69">
        <f t="shared" si="1403"/>
        <v>0.81182430107526882</v>
      </c>
      <c r="CF76" s="69"/>
      <c r="CG76" s="42">
        <f t="shared" si="1302"/>
        <v>744</v>
      </c>
      <c r="CH76" s="43">
        <v>15099.932000000001</v>
      </c>
      <c r="CI76" s="8">
        <v>25</v>
      </c>
      <c r="CL76" s="37" t="s">
        <v>71</v>
      </c>
      <c r="CM76" s="6">
        <f t="shared" si="1303"/>
        <v>717.13</v>
      </c>
      <c r="CN76" s="8">
        <v>626.9</v>
      </c>
      <c r="CO76" s="6">
        <v>90.230000000000018</v>
      </c>
      <c r="CP76" s="8">
        <v>2.87</v>
      </c>
      <c r="CQ76" s="6">
        <f t="shared" si="1304"/>
        <v>3.9861111111111113E-3</v>
      </c>
      <c r="CR76" s="8">
        <v>0</v>
      </c>
      <c r="CS76" s="6">
        <f t="shared" si="1305"/>
        <v>0</v>
      </c>
      <c r="CT76" s="6">
        <v>0</v>
      </c>
      <c r="CU76" s="6">
        <f t="shared" si="1306"/>
        <v>0</v>
      </c>
      <c r="CV76" s="8">
        <v>0</v>
      </c>
      <c r="CW76" s="69">
        <f t="shared" si="1386"/>
        <v>0.99601388888888887</v>
      </c>
      <c r="CX76" s="69">
        <f t="shared" si="1387"/>
        <v>0.99601388888888887</v>
      </c>
      <c r="CY76" s="149">
        <f t="shared" si="1388"/>
        <v>4.5572193022849613E-3</v>
      </c>
      <c r="CZ76" s="149">
        <f t="shared" si="1389"/>
        <v>0</v>
      </c>
      <c r="DA76" s="69">
        <f t="shared" si="1390"/>
        <v>0.85411127777777784</v>
      </c>
      <c r="DB76" s="6"/>
      <c r="DC76" s="6">
        <f t="shared" si="1312"/>
        <v>720</v>
      </c>
      <c r="DD76" s="43">
        <v>15374.003000000001</v>
      </c>
      <c r="DE76" s="8">
        <v>25</v>
      </c>
      <c r="DF76" s="6"/>
      <c r="DH76" s="37" t="s">
        <v>71</v>
      </c>
      <c r="DI76" s="6">
        <f t="shared" si="1313"/>
        <v>686.18</v>
      </c>
      <c r="DJ76" s="8">
        <v>612.71</v>
      </c>
      <c r="DK76" s="8">
        <v>73.469999999999914</v>
      </c>
      <c r="DL76" s="8">
        <v>0</v>
      </c>
      <c r="DM76" s="69">
        <f t="shared" si="1266"/>
        <v>0</v>
      </c>
      <c r="DN76" s="8">
        <v>0</v>
      </c>
      <c r="DO76" s="69">
        <f t="shared" si="1267"/>
        <v>0</v>
      </c>
      <c r="DP76" s="91">
        <v>57.82</v>
      </c>
      <c r="DQ76" s="69">
        <f t="shared" si="1268"/>
        <v>7.7715053763440858E-2</v>
      </c>
      <c r="DR76" s="8">
        <v>0</v>
      </c>
      <c r="DS76" s="69">
        <f t="shared" si="1416"/>
        <v>0.9222849462365591</v>
      </c>
      <c r="DT76" s="69">
        <f t="shared" si="1417"/>
        <v>0.9222849462365591</v>
      </c>
      <c r="DU76" s="149">
        <f t="shared" si="1418"/>
        <v>0</v>
      </c>
      <c r="DV76" s="149">
        <f t="shared" si="1419"/>
        <v>0</v>
      </c>
      <c r="DW76" s="69">
        <f t="shared" si="1420"/>
        <v>0.80229381720430115</v>
      </c>
      <c r="DX76" s="69"/>
      <c r="DY76" s="15">
        <f t="shared" si="1319"/>
        <v>744</v>
      </c>
      <c r="DZ76" s="43">
        <v>14922.665000000001</v>
      </c>
      <c r="EA76" s="8">
        <v>25</v>
      </c>
      <c r="ED76" s="37" t="s">
        <v>71</v>
      </c>
      <c r="EE76" s="6">
        <f t="shared" si="1320"/>
        <v>744</v>
      </c>
      <c r="EF76" s="8">
        <v>610.54999999999995</v>
      </c>
      <c r="EG76" s="8">
        <v>133.44999999999999</v>
      </c>
      <c r="EH76" s="8">
        <v>0</v>
      </c>
      <c r="EI76" s="6">
        <f t="shared" si="1321"/>
        <v>0</v>
      </c>
      <c r="EJ76" s="8">
        <v>0</v>
      </c>
      <c r="EK76" s="6">
        <f t="shared" si="1322"/>
        <v>0</v>
      </c>
      <c r="EL76" s="6">
        <v>0</v>
      </c>
      <c r="EM76" s="6">
        <f t="shared" si="1323"/>
        <v>0</v>
      </c>
      <c r="EN76" s="8">
        <v>0</v>
      </c>
      <c r="EO76" s="69">
        <f t="shared" si="1324"/>
        <v>1</v>
      </c>
      <c r="EP76" s="69">
        <f t="shared" si="1325"/>
        <v>1</v>
      </c>
      <c r="EQ76" s="149">
        <f t="shared" si="1326"/>
        <v>0</v>
      </c>
      <c r="ER76" s="149"/>
      <c r="ES76" s="69">
        <f t="shared" si="1327"/>
        <v>0.8129672580645162</v>
      </c>
      <c r="ET76" s="6"/>
      <c r="EU76" s="6">
        <f t="shared" si="1328"/>
        <v>744</v>
      </c>
      <c r="EV76" s="85">
        <v>15121.191000000001</v>
      </c>
      <c r="EW76" s="8">
        <v>25</v>
      </c>
      <c r="EZ76" s="37" t="s">
        <v>71</v>
      </c>
      <c r="FA76" s="6">
        <f t="shared" si="1329"/>
        <v>672</v>
      </c>
      <c r="FB76" s="8">
        <v>300.23</v>
      </c>
      <c r="FC76" s="8">
        <v>371.77</v>
      </c>
      <c r="FD76" s="8">
        <v>0</v>
      </c>
      <c r="FE76" s="6">
        <f t="shared" si="1330"/>
        <v>0</v>
      </c>
      <c r="FF76" s="8">
        <v>0</v>
      </c>
      <c r="FG76" s="6">
        <f t="shared" si="1331"/>
        <v>0</v>
      </c>
      <c r="FH76" s="6">
        <v>0</v>
      </c>
      <c r="FI76" s="6">
        <f t="shared" si="1332"/>
        <v>0</v>
      </c>
      <c r="FJ76" s="8">
        <v>0</v>
      </c>
      <c r="FK76" s="69">
        <f t="shared" si="1333"/>
        <v>0.90322580645161288</v>
      </c>
      <c r="FL76" s="69">
        <f t="shared" si="1334"/>
        <v>1</v>
      </c>
      <c r="FM76" s="149">
        <f t="shared" si="1335"/>
        <v>0</v>
      </c>
      <c r="FN76" s="149">
        <f t="shared" si="1336"/>
        <v>0</v>
      </c>
      <c r="FO76" s="69">
        <f t="shared" si="1337"/>
        <v>0.44908666666666669</v>
      </c>
      <c r="FP76" s="6"/>
      <c r="FQ76" s="6">
        <f t="shared" si="1338"/>
        <v>672</v>
      </c>
      <c r="FR76" s="43">
        <v>7544.6559999999999</v>
      </c>
      <c r="FS76" s="8">
        <v>25</v>
      </c>
      <c r="FV76" s="37" t="s">
        <v>71</v>
      </c>
      <c r="FW76" s="6">
        <f t="shared" si="1339"/>
        <v>744</v>
      </c>
      <c r="FX76" s="8">
        <v>624.85</v>
      </c>
      <c r="FY76" s="8">
        <v>119.15</v>
      </c>
      <c r="FZ76" s="8">
        <v>0</v>
      </c>
      <c r="GA76" s="69">
        <f t="shared" si="1340"/>
        <v>0</v>
      </c>
      <c r="GB76" s="8">
        <v>0</v>
      </c>
      <c r="GC76" s="69">
        <f t="shared" si="1341"/>
        <v>0</v>
      </c>
      <c r="GD76" s="6">
        <v>0</v>
      </c>
      <c r="GE76" s="69">
        <f t="shared" si="1342"/>
        <v>0</v>
      </c>
      <c r="GF76" s="8">
        <v>0</v>
      </c>
      <c r="GG76" s="69">
        <f t="shared" si="1343"/>
        <v>1</v>
      </c>
      <c r="GH76" s="69">
        <f t="shared" si="1344"/>
        <v>1</v>
      </c>
      <c r="GI76" s="149">
        <f t="shared" si="1345"/>
        <v>0</v>
      </c>
      <c r="GJ76" s="149">
        <f t="shared" si="1346"/>
        <v>0</v>
      </c>
      <c r="GK76" s="69">
        <f t="shared" si="1347"/>
        <v>0.84973903225806457</v>
      </c>
      <c r="GL76" s="69"/>
      <c r="GM76" s="6">
        <f t="shared" si="1348"/>
        <v>744</v>
      </c>
      <c r="GN76" s="43">
        <v>15805.146000000001</v>
      </c>
      <c r="GO76" s="8">
        <v>25</v>
      </c>
      <c r="GR76" s="37" t="s">
        <v>71</v>
      </c>
      <c r="GS76" s="6">
        <f>$GR$4-GV76-GX76-GZ76</f>
        <v>511.25</v>
      </c>
      <c r="GT76" s="8">
        <v>433.21</v>
      </c>
      <c r="GU76" s="8">
        <v>78.040000000000006</v>
      </c>
      <c r="GV76" s="8">
        <v>208.75</v>
      </c>
      <c r="GW76" s="6">
        <f t="shared" si="1350"/>
        <v>0.28993055555555558</v>
      </c>
      <c r="GX76" s="8">
        <v>0</v>
      </c>
      <c r="GY76" s="6">
        <f t="shared" si="1351"/>
        <v>0</v>
      </c>
      <c r="GZ76" s="6">
        <v>0</v>
      </c>
      <c r="HA76" s="6">
        <f t="shared" si="1352"/>
        <v>0</v>
      </c>
      <c r="HB76" s="8">
        <v>0</v>
      </c>
      <c r="HC76" s="69">
        <f t="shared" si="1353"/>
        <v>0.68716397849462363</v>
      </c>
      <c r="HD76" s="69">
        <f t="shared" si="1354"/>
        <v>0.71006944444444442</v>
      </c>
      <c r="HE76" s="149">
        <f t="shared" si="1355"/>
        <v>0.32517602342825097</v>
      </c>
      <c r="HF76" s="149">
        <f t="shared" si="1356"/>
        <v>0</v>
      </c>
      <c r="HG76" s="69">
        <f t="shared" si="1357"/>
        <v>0.57069333333333327</v>
      </c>
      <c r="HH76" s="15">
        <v>0</v>
      </c>
      <c r="HI76" s="6">
        <f t="shared" si="1358"/>
        <v>720</v>
      </c>
      <c r="HJ76" s="85">
        <v>10272.48</v>
      </c>
      <c r="HK76" s="8">
        <v>25</v>
      </c>
      <c r="HN76" s="37" t="s">
        <v>71</v>
      </c>
      <c r="HO76" s="8">
        <f t="shared" si="1359"/>
        <v>744</v>
      </c>
      <c r="HP76" s="8">
        <v>577.87</v>
      </c>
      <c r="HQ76" s="52">
        <v>166.13000000000011</v>
      </c>
      <c r="HR76" s="8">
        <v>0</v>
      </c>
      <c r="HS76" s="6">
        <f t="shared" si="1360"/>
        <v>0</v>
      </c>
      <c r="HT76" s="8">
        <v>0</v>
      </c>
      <c r="HU76" s="6">
        <f t="shared" si="1361"/>
        <v>0</v>
      </c>
      <c r="HV76" s="8">
        <v>0</v>
      </c>
      <c r="HW76" s="6">
        <f t="shared" si="1362"/>
        <v>0</v>
      </c>
      <c r="HX76" s="8">
        <v>0</v>
      </c>
      <c r="HY76" s="69">
        <f t="shared" si="1363"/>
        <v>1</v>
      </c>
      <c r="HZ76" s="69">
        <f t="shared" si="1364"/>
        <v>1</v>
      </c>
      <c r="IA76" s="69">
        <f t="shared" si="1365"/>
        <v>0</v>
      </c>
      <c r="IB76" s="149">
        <f t="shared" si="1366"/>
        <v>0</v>
      </c>
      <c r="IC76" s="69">
        <f t="shared" si="1367"/>
        <v>0.74389193548387089</v>
      </c>
      <c r="ID76" s="15">
        <v>0</v>
      </c>
      <c r="IE76" s="6">
        <f t="shared" si="1368"/>
        <v>744.00000000000011</v>
      </c>
      <c r="IF76" s="85">
        <v>13836.39</v>
      </c>
      <c r="IG76" s="8">
        <v>25</v>
      </c>
      <c r="IJ76" s="37" t="s">
        <v>71</v>
      </c>
      <c r="IK76" s="49">
        <f t="shared" si="1369"/>
        <v>715.89</v>
      </c>
      <c r="IL76" s="49">
        <v>519</v>
      </c>
      <c r="IM76" s="8">
        <v>196.89</v>
      </c>
      <c r="IN76" s="49">
        <v>4.1100000000000003</v>
      </c>
      <c r="IO76" s="69">
        <f t="shared" si="1370"/>
        <v>5.7083333333333335E-3</v>
      </c>
      <c r="IP76" s="8">
        <v>0</v>
      </c>
      <c r="IQ76" s="69">
        <f t="shared" si="1371"/>
        <v>0</v>
      </c>
      <c r="IR76" s="6">
        <v>0</v>
      </c>
      <c r="IS76" s="69">
        <f t="shared" si="1371"/>
        <v>0</v>
      </c>
      <c r="IT76" s="8">
        <v>0</v>
      </c>
      <c r="IU76" s="69">
        <f t="shared" si="1372"/>
        <v>0.99429166666666668</v>
      </c>
      <c r="IV76" s="69">
        <f t="shared" si="1373"/>
        <v>0.99429166666666668</v>
      </c>
      <c r="IW76" s="164">
        <f t="shared" ref="IW76:IW78" si="1429">IF((AND(IL76=0,IN76=0)),0,(IN76+IT76)/(IL76+IN76+IT76))</f>
        <v>7.8568561105694795E-3</v>
      </c>
      <c r="IX76" s="149">
        <f t="shared" si="1374"/>
        <v>0</v>
      </c>
      <c r="IY76" s="69">
        <f t="shared" si="1408"/>
        <v>0.67524411111111116</v>
      </c>
      <c r="IZ76" s="15">
        <v>1</v>
      </c>
      <c r="JA76" s="15">
        <f t="shared" si="1375"/>
        <v>720</v>
      </c>
      <c r="JB76" s="92">
        <v>12154.394</v>
      </c>
      <c r="JC76" s="8">
        <v>25</v>
      </c>
      <c r="JE76" s="6"/>
    </row>
    <row r="77" spans="1:265" ht="14.25" x14ac:dyDescent="0.2">
      <c r="B77" s="37" t="s">
        <v>72</v>
      </c>
      <c r="C77" s="8">
        <f t="shared" si="1270"/>
        <v>744</v>
      </c>
      <c r="D77" s="8">
        <v>684</v>
      </c>
      <c r="E77" s="8">
        <v>60</v>
      </c>
      <c r="F77" s="8">
        <v>0</v>
      </c>
      <c r="G77" s="6">
        <f t="shared" si="1271"/>
        <v>0</v>
      </c>
      <c r="H77" s="8">
        <v>0</v>
      </c>
      <c r="I77" s="6">
        <f t="shared" si="1376"/>
        <v>0</v>
      </c>
      <c r="J77" s="8">
        <v>0</v>
      </c>
      <c r="K77" s="6">
        <f t="shared" si="1272"/>
        <v>0</v>
      </c>
      <c r="L77" s="8">
        <v>0</v>
      </c>
      <c r="M77" s="69">
        <f t="shared" si="1261"/>
        <v>1</v>
      </c>
      <c r="N77" s="69">
        <f t="shared" si="1262"/>
        <v>1</v>
      </c>
      <c r="O77" s="69">
        <f t="shared" si="1263"/>
        <v>0</v>
      </c>
      <c r="P77" s="149">
        <f t="shared" si="1264"/>
        <v>0</v>
      </c>
      <c r="Q77" s="69">
        <f t="shared" si="1265"/>
        <v>0.98993770161290318</v>
      </c>
      <c r="R77" s="15">
        <v>0</v>
      </c>
      <c r="S77" s="6">
        <f t="shared" si="1273"/>
        <v>744</v>
      </c>
      <c r="T77" s="85">
        <v>14730.272999999999</v>
      </c>
      <c r="U77" s="8">
        <v>20</v>
      </c>
      <c r="X77" s="37" t="s">
        <v>72</v>
      </c>
      <c r="Y77" s="8">
        <f t="shared" si="1274"/>
        <v>744</v>
      </c>
      <c r="Z77" s="8">
        <v>675</v>
      </c>
      <c r="AA77" s="8">
        <v>69</v>
      </c>
      <c r="AB77" s="8">
        <v>0</v>
      </c>
      <c r="AC77" s="8">
        <f t="shared" si="1275"/>
        <v>0</v>
      </c>
      <c r="AD77" s="8">
        <v>0</v>
      </c>
      <c r="AE77" s="8">
        <f t="shared" si="1276"/>
        <v>0</v>
      </c>
      <c r="AF77" s="8">
        <v>0</v>
      </c>
      <c r="AG77" s="8">
        <f t="shared" si="1276"/>
        <v>0</v>
      </c>
      <c r="AH77" s="8">
        <v>0</v>
      </c>
      <c r="AI77" s="69">
        <f t="shared" si="1277"/>
        <v>1</v>
      </c>
      <c r="AJ77" s="69">
        <f t="shared" si="1278"/>
        <v>1</v>
      </c>
      <c r="AK77" s="69">
        <f t="shared" si="1279"/>
        <v>0</v>
      </c>
      <c r="AL77" s="149">
        <f t="shared" si="1280"/>
        <v>0</v>
      </c>
      <c r="AM77" s="69">
        <f t="shared" si="1281"/>
        <v>0.95130974462365592</v>
      </c>
      <c r="AN77" s="15">
        <v>0</v>
      </c>
      <c r="AO77" s="6">
        <f t="shared" si="1282"/>
        <v>744</v>
      </c>
      <c r="AP77" s="85">
        <v>14155.489</v>
      </c>
      <c r="AQ77" s="8">
        <v>20</v>
      </c>
      <c r="AT77" s="37" t="s">
        <v>72</v>
      </c>
      <c r="AU77" s="8">
        <f t="shared" si="1283"/>
        <v>720</v>
      </c>
      <c r="AV77" s="8">
        <v>643</v>
      </c>
      <c r="AW77" s="17">
        <f>720-AV77</f>
        <v>77</v>
      </c>
      <c r="AX77" s="8">
        <v>0</v>
      </c>
      <c r="AY77" s="6">
        <f t="shared" si="1396"/>
        <v>0</v>
      </c>
      <c r="AZ77" s="8">
        <v>0</v>
      </c>
      <c r="BA77" s="6">
        <f t="shared" si="1396"/>
        <v>0</v>
      </c>
      <c r="BB77" s="8">
        <v>0</v>
      </c>
      <c r="BC77" s="6">
        <f t="shared" ref="BC77" si="1430">(BB77/$AT$4)</f>
        <v>0</v>
      </c>
      <c r="BD77" s="8">
        <v>0</v>
      </c>
      <c r="BE77" s="69">
        <f t="shared" si="1410"/>
        <v>1</v>
      </c>
      <c r="BF77" s="69">
        <f t="shared" si="1411"/>
        <v>1</v>
      </c>
      <c r="BG77" s="69">
        <f t="shared" si="1412"/>
        <v>0</v>
      </c>
      <c r="BH77" s="149">
        <f t="shared" si="1413"/>
        <v>0</v>
      </c>
      <c r="BI77" s="69">
        <f t="shared" si="1414"/>
        <v>0.93400312500000005</v>
      </c>
      <c r="BJ77" s="6"/>
      <c r="BK77" s="6">
        <f t="shared" si="1292"/>
        <v>720</v>
      </c>
      <c r="BL77" s="93">
        <v>13449.645</v>
      </c>
      <c r="BM77" s="8">
        <v>20</v>
      </c>
      <c r="BP77" s="37" t="s">
        <v>72</v>
      </c>
      <c r="BQ77" s="6">
        <f t="shared" si="1293"/>
        <v>744</v>
      </c>
      <c r="BR77" s="8">
        <v>640</v>
      </c>
      <c r="BS77" s="17">
        <f>744-BR77</f>
        <v>104</v>
      </c>
      <c r="BT77" s="8">
        <v>0</v>
      </c>
      <c r="BU77" s="6">
        <f t="shared" si="1295"/>
        <v>0</v>
      </c>
      <c r="BV77" s="8">
        <v>0</v>
      </c>
      <c r="BW77" s="6">
        <f t="shared" si="1295"/>
        <v>0</v>
      </c>
      <c r="BX77" s="6">
        <v>0</v>
      </c>
      <c r="BY77" s="6">
        <f t="shared" ref="BY77" si="1431">(BX77/$BP$4)</f>
        <v>0</v>
      </c>
      <c r="BZ77" s="8">
        <v>0</v>
      </c>
      <c r="CA77" s="69">
        <f t="shared" si="1399"/>
        <v>1</v>
      </c>
      <c r="CB77" s="69">
        <f t="shared" si="1400"/>
        <v>1</v>
      </c>
      <c r="CC77" s="149">
        <f t="shared" si="1401"/>
        <v>0</v>
      </c>
      <c r="CD77" s="149">
        <f t="shared" si="1402"/>
        <v>0</v>
      </c>
      <c r="CE77" s="69">
        <f t="shared" si="1403"/>
        <v>0.91057876344086019</v>
      </c>
      <c r="CF77" s="69"/>
      <c r="CG77" s="42">
        <f t="shared" si="1302"/>
        <v>744</v>
      </c>
      <c r="CH77" s="43">
        <v>13549.412</v>
      </c>
      <c r="CI77" s="8">
        <v>20</v>
      </c>
      <c r="CL77" s="37" t="s">
        <v>72</v>
      </c>
      <c r="CM77" s="6">
        <f t="shared" si="1303"/>
        <v>719.83</v>
      </c>
      <c r="CN77" s="8">
        <v>615.66</v>
      </c>
      <c r="CO77" s="6">
        <v>104.17000000000007</v>
      </c>
      <c r="CP77" s="8">
        <v>0.17</v>
      </c>
      <c r="CQ77" s="6">
        <f t="shared" si="1304"/>
        <v>2.3611111111111112E-4</v>
      </c>
      <c r="CR77" s="8">
        <v>0</v>
      </c>
      <c r="CS77" s="6">
        <f t="shared" si="1305"/>
        <v>0</v>
      </c>
      <c r="CT77" s="6">
        <v>0</v>
      </c>
      <c r="CU77" s="6">
        <f t="shared" si="1306"/>
        <v>0</v>
      </c>
      <c r="CV77" s="8">
        <v>0</v>
      </c>
      <c r="CW77" s="69">
        <f t="shared" si="1386"/>
        <v>0.9997638888888889</v>
      </c>
      <c r="CX77" s="69">
        <f t="shared" si="1387"/>
        <v>0.9997638888888889</v>
      </c>
      <c r="CY77" s="149">
        <f t="shared" si="1388"/>
        <v>2.7605020866148128E-4</v>
      </c>
      <c r="CZ77" s="149">
        <f t="shared" si="1389"/>
        <v>0</v>
      </c>
      <c r="DA77" s="69">
        <f t="shared" si="1390"/>
        <v>0.93927173611111114</v>
      </c>
      <c r="DB77" s="6"/>
      <c r="DC77" s="6">
        <f t="shared" si="1312"/>
        <v>720</v>
      </c>
      <c r="DD77" s="43">
        <v>13525.513000000001</v>
      </c>
      <c r="DE77" s="8">
        <v>20</v>
      </c>
      <c r="DF77" s="6"/>
      <c r="DH77" s="37" t="s">
        <v>72</v>
      </c>
      <c r="DI77" s="6">
        <f t="shared" si="1313"/>
        <v>648.52</v>
      </c>
      <c r="DJ77" s="8">
        <v>541.33000000000004</v>
      </c>
      <c r="DK77" s="8">
        <v>107.18999999999994</v>
      </c>
      <c r="DL77" s="8">
        <v>0</v>
      </c>
      <c r="DM77" s="69">
        <f t="shared" ref="DM77:DO78" si="1432">(DL77/$DH$4)</f>
        <v>0</v>
      </c>
      <c r="DN77" s="8">
        <v>0</v>
      </c>
      <c r="DO77" s="69">
        <f t="shared" si="1432"/>
        <v>0</v>
      </c>
      <c r="DP77" s="91">
        <v>95.48</v>
      </c>
      <c r="DQ77" s="69">
        <f t="shared" ref="DQ77" si="1433">(DP77/$DH$4)</f>
        <v>0.12833333333333333</v>
      </c>
      <c r="DR77" s="8">
        <v>0</v>
      </c>
      <c r="DS77" s="69">
        <f t="shared" si="1416"/>
        <v>0.87166666666666659</v>
      </c>
      <c r="DT77" s="69">
        <f t="shared" si="1417"/>
        <v>0.87166666666666659</v>
      </c>
      <c r="DU77" s="149">
        <f t="shared" si="1418"/>
        <v>0</v>
      </c>
      <c r="DV77" s="149">
        <f t="shared" si="1419"/>
        <v>0</v>
      </c>
      <c r="DW77" s="69">
        <f t="shared" si="1420"/>
        <v>0.80777217741935481</v>
      </c>
      <c r="DX77" s="69"/>
      <c r="DY77" s="15">
        <f t="shared" si="1319"/>
        <v>744</v>
      </c>
      <c r="DZ77" s="43">
        <v>12019.65</v>
      </c>
      <c r="EA77" s="8">
        <v>20</v>
      </c>
      <c r="ED77" s="37" t="s">
        <v>72</v>
      </c>
      <c r="EE77" s="6">
        <f t="shared" si="1320"/>
        <v>744</v>
      </c>
      <c r="EF77" s="8">
        <v>588.46</v>
      </c>
      <c r="EG77" s="8">
        <v>155.54</v>
      </c>
      <c r="EH77" s="8">
        <v>0</v>
      </c>
      <c r="EI77" s="6">
        <f t="shared" si="1321"/>
        <v>0</v>
      </c>
      <c r="EJ77" s="8">
        <v>0</v>
      </c>
      <c r="EK77" s="6">
        <f t="shared" si="1322"/>
        <v>0</v>
      </c>
      <c r="EL77" s="6">
        <v>0</v>
      </c>
      <c r="EM77" s="6">
        <f t="shared" si="1323"/>
        <v>0</v>
      </c>
      <c r="EN77" s="8">
        <v>0</v>
      </c>
      <c r="EO77" s="69">
        <f t="shared" si="1324"/>
        <v>1</v>
      </c>
      <c r="EP77" s="69">
        <f t="shared" si="1325"/>
        <v>1</v>
      </c>
      <c r="EQ77" s="149">
        <f t="shared" si="1326"/>
        <v>0</v>
      </c>
      <c r="ER77" s="149"/>
      <c r="ES77" s="69">
        <f t="shared" si="1327"/>
        <v>0.878261626344086</v>
      </c>
      <c r="ET77" s="6"/>
      <c r="EU77" s="6">
        <f t="shared" si="1328"/>
        <v>744</v>
      </c>
      <c r="EV77" s="85">
        <v>13068.532999999999</v>
      </c>
      <c r="EW77" s="8">
        <v>20</v>
      </c>
      <c r="EZ77" s="37" t="s">
        <v>72</v>
      </c>
      <c r="FA77" s="6">
        <f t="shared" si="1329"/>
        <v>672</v>
      </c>
      <c r="FB77" s="8">
        <v>214.73</v>
      </c>
      <c r="FC77" s="8">
        <v>457.27</v>
      </c>
      <c r="FD77" s="8">
        <v>0</v>
      </c>
      <c r="FE77" s="6">
        <f t="shared" si="1330"/>
        <v>0</v>
      </c>
      <c r="FF77" s="8">
        <v>0</v>
      </c>
      <c r="FG77" s="6">
        <f t="shared" si="1331"/>
        <v>0</v>
      </c>
      <c r="FH77" s="6">
        <v>0</v>
      </c>
      <c r="FI77" s="6">
        <f t="shared" si="1332"/>
        <v>0</v>
      </c>
      <c r="FJ77" s="8">
        <v>0</v>
      </c>
      <c r="FK77" s="69">
        <f t="shared" si="1333"/>
        <v>0.90322580645161288</v>
      </c>
      <c r="FL77" s="69">
        <f t="shared" si="1334"/>
        <v>1</v>
      </c>
      <c r="FM77" s="149">
        <f t="shared" si="1335"/>
        <v>0</v>
      </c>
      <c r="FN77" s="149">
        <f t="shared" si="1336"/>
        <v>0</v>
      </c>
      <c r="FO77" s="69">
        <f t="shared" si="1337"/>
        <v>0.34282938988095241</v>
      </c>
      <c r="FP77" s="6"/>
      <c r="FQ77" s="6">
        <f t="shared" si="1338"/>
        <v>672</v>
      </c>
      <c r="FR77" s="43">
        <v>4607.6270000000004</v>
      </c>
      <c r="FS77" s="8">
        <v>20</v>
      </c>
      <c r="FV77" s="37" t="s">
        <v>72</v>
      </c>
      <c r="FW77" s="6">
        <f t="shared" si="1339"/>
        <v>744</v>
      </c>
      <c r="FX77" s="8">
        <v>558.9</v>
      </c>
      <c r="FY77" s="8">
        <v>185.1</v>
      </c>
      <c r="FZ77" s="8">
        <v>0</v>
      </c>
      <c r="GA77" s="69">
        <f t="shared" si="1340"/>
        <v>0</v>
      </c>
      <c r="GB77" s="8">
        <v>0</v>
      </c>
      <c r="GC77" s="69">
        <f t="shared" si="1341"/>
        <v>0</v>
      </c>
      <c r="GD77" s="6">
        <v>0</v>
      </c>
      <c r="GE77" s="69">
        <f t="shared" si="1342"/>
        <v>0</v>
      </c>
      <c r="GF77" s="8">
        <v>0</v>
      </c>
      <c r="GG77" s="69">
        <f t="shared" si="1343"/>
        <v>1</v>
      </c>
      <c r="GH77" s="69">
        <f t="shared" si="1344"/>
        <v>1</v>
      </c>
      <c r="GI77" s="149">
        <f t="shared" si="1345"/>
        <v>0</v>
      </c>
      <c r="GJ77" s="149">
        <f t="shared" si="1346"/>
        <v>0</v>
      </c>
      <c r="GK77" s="69">
        <f t="shared" si="1347"/>
        <v>0.82488508064516131</v>
      </c>
      <c r="GL77" s="69"/>
      <c r="GM77" s="6">
        <f t="shared" si="1348"/>
        <v>744</v>
      </c>
      <c r="GN77" s="43">
        <v>12274.29</v>
      </c>
      <c r="GO77" s="8">
        <v>20</v>
      </c>
      <c r="GR77" s="37" t="s">
        <v>72</v>
      </c>
      <c r="GS77" s="6">
        <f t="shared" si="1349"/>
        <v>720</v>
      </c>
      <c r="GT77" s="8">
        <v>580.96</v>
      </c>
      <c r="GU77" s="8">
        <v>139.04</v>
      </c>
      <c r="GV77" s="8">
        <v>0</v>
      </c>
      <c r="GW77" s="6">
        <f t="shared" si="1350"/>
        <v>0</v>
      </c>
      <c r="GX77" s="8">
        <v>0</v>
      </c>
      <c r="GY77" s="6">
        <f t="shared" si="1351"/>
        <v>0</v>
      </c>
      <c r="GZ77" s="6">
        <v>0</v>
      </c>
      <c r="HA77" s="6">
        <f t="shared" si="1352"/>
        <v>0</v>
      </c>
      <c r="HB77" s="8">
        <v>0</v>
      </c>
      <c r="HC77" s="69">
        <f t="shared" si="1353"/>
        <v>0.967741935483871</v>
      </c>
      <c r="HD77" s="69">
        <f t="shared" si="1354"/>
        <v>1</v>
      </c>
      <c r="HE77" s="149">
        <f t="shared" si="1355"/>
        <v>0</v>
      </c>
      <c r="HF77" s="149">
        <f t="shared" si="1356"/>
        <v>0</v>
      </c>
      <c r="HG77" s="69">
        <f t="shared" si="1357"/>
        <v>0.86204722222222219</v>
      </c>
      <c r="HH77" s="15">
        <v>0</v>
      </c>
      <c r="HI77" s="6">
        <f t="shared" si="1358"/>
        <v>720</v>
      </c>
      <c r="HJ77" s="85">
        <v>12413.48</v>
      </c>
      <c r="HK77" s="8">
        <v>20</v>
      </c>
      <c r="HN77" s="37" t="s">
        <v>72</v>
      </c>
      <c r="HO77" s="8">
        <f t="shared" si="1359"/>
        <v>715.95</v>
      </c>
      <c r="HP77" s="8">
        <v>497.72</v>
      </c>
      <c r="HQ77" s="52">
        <v>218.23</v>
      </c>
      <c r="HR77" s="8">
        <v>28.05</v>
      </c>
      <c r="HS77" s="6">
        <f t="shared" si="1360"/>
        <v>3.7701612903225809E-2</v>
      </c>
      <c r="HT77" s="8">
        <v>0</v>
      </c>
      <c r="HU77" s="6">
        <f t="shared" si="1361"/>
        <v>0</v>
      </c>
      <c r="HV77" s="8">
        <v>0</v>
      </c>
      <c r="HW77" s="6">
        <f t="shared" si="1362"/>
        <v>0</v>
      </c>
      <c r="HX77" s="8">
        <v>0</v>
      </c>
      <c r="HY77" s="69">
        <f t="shared" si="1363"/>
        <v>0.96229838709677429</v>
      </c>
      <c r="HZ77" s="69">
        <f t="shared" si="1364"/>
        <v>0.96229838709677429</v>
      </c>
      <c r="IA77" s="69">
        <f t="shared" si="1365"/>
        <v>5.3350324286284882E-2</v>
      </c>
      <c r="IB77" s="149">
        <f t="shared" si="1366"/>
        <v>0</v>
      </c>
      <c r="IC77" s="69">
        <f t="shared" si="1367"/>
        <v>0.68911357526881722</v>
      </c>
      <c r="ID77" s="15">
        <v>2</v>
      </c>
      <c r="IE77" s="6">
        <f t="shared" si="1368"/>
        <v>744</v>
      </c>
      <c r="IF77" s="85">
        <v>10254.01</v>
      </c>
      <c r="IG77" s="8">
        <v>20</v>
      </c>
      <c r="IJ77" s="37" t="s">
        <v>72</v>
      </c>
      <c r="IK77" s="49">
        <f t="shared" si="1369"/>
        <v>720</v>
      </c>
      <c r="IL77" s="49">
        <v>511.78</v>
      </c>
      <c r="IM77" s="8">
        <v>208.22000000000003</v>
      </c>
      <c r="IN77" s="49">
        <v>0</v>
      </c>
      <c r="IO77" s="69">
        <f t="shared" si="1370"/>
        <v>0</v>
      </c>
      <c r="IP77" s="8">
        <v>0</v>
      </c>
      <c r="IQ77" s="69">
        <f t="shared" si="1371"/>
        <v>0</v>
      </c>
      <c r="IR77" s="6">
        <v>0</v>
      </c>
      <c r="IS77" s="69">
        <f t="shared" si="1371"/>
        <v>0</v>
      </c>
      <c r="IT77" s="8">
        <v>0</v>
      </c>
      <c r="IU77" s="69">
        <f t="shared" si="1372"/>
        <v>1</v>
      </c>
      <c r="IV77" s="69">
        <f t="shared" si="1373"/>
        <v>1</v>
      </c>
      <c r="IW77" s="164">
        <f t="shared" si="1429"/>
        <v>0</v>
      </c>
      <c r="IX77" s="149">
        <f t="shared" si="1374"/>
        <v>0</v>
      </c>
      <c r="IY77" s="69">
        <f t="shared" si="1408"/>
        <v>0.72659833333333335</v>
      </c>
      <c r="IZ77" s="15">
        <v>0</v>
      </c>
      <c r="JA77" s="15">
        <f t="shared" si="1375"/>
        <v>720</v>
      </c>
      <c r="JB77" s="92">
        <v>10463.016</v>
      </c>
      <c r="JC77" s="8">
        <v>20</v>
      </c>
      <c r="JE77" s="6"/>
    </row>
    <row r="78" spans="1:265" ht="14.25" x14ac:dyDescent="0.2">
      <c r="B78" s="37" t="s">
        <v>73</v>
      </c>
      <c r="C78" s="8">
        <f t="shared" si="1270"/>
        <v>744</v>
      </c>
      <c r="D78" s="8">
        <v>621</v>
      </c>
      <c r="E78" s="8">
        <v>123</v>
      </c>
      <c r="F78" s="8">
        <v>0</v>
      </c>
      <c r="G78" s="6">
        <f t="shared" si="1271"/>
        <v>0</v>
      </c>
      <c r="H78" s="8">
        <v>0</v>
      </c>
      <c r="I78" s="6">
        <f t="shared" si="1376"/>
        <v>0</v>
      </c>
      <c r="J78" s="8">
        <v>0</v>
      </c>
      <c r="K78" s="6">
        <f t="shared" si="1272"/>
        <v>0</v>
      </c>
      <c r="L78" s="8">
        <v>0</v>
      </c>
      <c r="M78" s="69">
        <f t="shared" si="1261"/>
        <v>1</v>
      </c>
      <c r="N78" s="69">
        <f t="shared" si="1262"/>
        <v>1</v>
      </c>
      <c r="O78" s="69">
        <f t="shared" si="1263"/>
        <v>0</v>
      </c>
      <c r="P78" s="149">
        <f t="shared" si="1264"/>
        <v>0</v>
      </c>
      <c r="Q78" s="69">
        <f t="shared" si="1265"/>
        <v>0.78564086021505375</v>
      </c>
      <c r="R78" s="15">
        <v>0</v>
      </c>
      <c r="S78" s="6">
        <f t="shared" si="1273"/>
        <v>744</v>
      </c>
      <c r="T78" s="85">
        <v>11690.335999999999</v>
      </c>
      <c r="U78" s="8">
        <v>20</v>
      </c>
      <c r="X78" s="37" t="s">
        <v>73</v>
      </c>
      <c r="Y78" s="8">
        <f t="shared" si="1274"/>
        <v>744</v>
      </c>
      <c r="Z78" s="8">
        <v>649</v>
      </c>
      <c r="AA78" s="8">
        <v>95</v>
      </c>
      <c r="AB78" s="8">
        <v>0</v>
      </c>
      <c r="AC78" s="8">
        <f t="shared" si="1275"/>
        <v>0</v>
      </c>
      <c r="AD78" s="8">
        <v>0</v>
      </c>
      <c r="AE78" s="8">
        <f t="shared" si="1276"/>
        <v>0</v>
      </c>
      <c r="AF78" s="8">
        <v>0</v>
      </c>
      <c r="AG78" s="8">
        <f t="shared" si="1276"/>
        <v>0</v>
      </c>
      <c r="AH78" s="8">
        <v>0</v>
      </c>
      <c r="AI78" s="69">
        <f t="shared" si="1277"/>
        <v>1</v>
      </c>
      <c r="AJ78" s="69">
        <f t="shared" si="1278"/>
        <v>1</v>
      </c>
      <c r="AK78" s="69">
        <f t="shared" si="1279"/>
        <v>0</v>
      </c>
      <c r="AL78" s="149">
        <f t="shared" si="1280"/>
        <v>0</v>
      </c>
      <c r="AM78" s="69">
        <f t="shared" si="1281"/>
        <v>0.87074106182795696</v>
      </c>
      <c r="AN78" s="15">
        <v>0</v>
      </c>
      <c r="AO78" s="6">
        <f t="shared" si="1282"/>
        <v>744</v>
      </c>
      <c r="AP78" s="85">
        <v>12956.627</v>
      </c>
      <c r="AQ78" s="8">
        <v>20</v>
      </c>
      <c r="AT78" s="37" t="s">
        <v>73</v>
      </c>
      <c r="AU78" s="8">
        <f t="shared" si="1283"/>
        <v>720</v>
      </c>
      <c r="AV78" s="8">
        <v>558</v>
      </c>
      <c r="AW78" s="17">
        <f>720-AV78</f>
        <v>162</v>
      </c>
      <c r="AX78" s="8">
        <v>0</v>
      </c>
      <c r="AY78" s="6">
        <f t="shared" si="1396"/>
        <v>0</v>
      </c>
      <c r="AZ78" s="8">
        <v>0</v>
      </c>
      <c r="BA78" s="6">
        <f t="shared" si="1396"/>
        <v>0</v>
      </c>
      <c r="BB78" s="8">
        <v>0</v>
      </c>
      <c r="BC78" s="6">
        <f t="shared" ref="BC78" si="1434">(BB78/$AT$4)</f>
        <v>0</v>
      </c>
      <c r="BD78" s="8">
        <v>0</v>
      </c>
      <c r="BE78" s="69">
        <f t="shared" si="1410"/>
        <v>1</v>
      </c>
      <c r="BF78" s="69">
        <f t="shared" si="1411"/>
        <v>1</v>
      </c>
      <c r="BG78" s="69">
        <f t="shared" si="1412"/>
        <v>0</v>
      </c>
      <c r="BH78" s="149">
        <f t="shared" si="1413"/>
        <v>0</v>
      </c>
      <c r="BI78" s="69">
        <f t="shared" si="1414"/>
        <v>0.77916756944444454</v>
      </c>
      <c r="BJ78" s="6"/>
      <c r="BK78" s="6">
        <f t="shared" si="1292"/>
        <v>720</v>
      </c>
      <c r="BL78" s="93">
        <v>11220.013000000001</v>
      </c>
      <c r="BM78" s="8">
        <v>20</v>
      </c>
      <c r="BP78" s="37" t="s">
        <v>73</v>
      </c>
      <c r="BQ78" s="6">
        <f t="shared" si="1293"/>
        <v>744</v>
      </c>
      <c r="BR78" s="8">
        <v>635</v>
      </c>
      <c r="BS78" s="17">
        <f>744-BR78</f>
        <v>109</v>
      </c>
      <c r="BT78" s="8">
        <v>0</v>
      </c>
      <c r="BU78" s="6">
        <f t="shared" si="1295"/>
        <v>0</v>
      </c>
      <c r="BV78" s="8">
        <v>0</v>
      </c>
      <c r="BW78" s="6">
        <f t="shared" si="1295"/>
        <v>0</v>
      </c>
      <c r="BX78" s="6">
        <v>0</v>
      </c>
      <c r="BY78" s="6">
        <f t="shared" ref="BY78" si="1435">(BX78/$BP$4)</f>
        <v>0</v>
      </c>
      <c r="BZ78" s="8">
        <v>0</v>
      </c>
      <c r="CA78" s="69">
        <f t="shared" si="1399"/>
        <v>1</v>
      </c>
      <c r="CB78" s="69">
        <f t="shared" si="1400"/>
        <v>1</v>
      </c>
      <c r="CC78" s="149">
        <f t="shared" si="1401"/>
        <v>0</v>
      </c>
      <c r="CD78" s="149">
        <f t="shared" si="1402"/>
        <v>0</v>
      </c>
      <c r="CE78" s="69">
        <f t="shared" si="1403"/>
        <v>0.87558400537634407</v>
      </c>
      <c r="CF78" s="69"/>
      <c r="CG78" s="42">
        <f t="shared" si="1302"/>
        <v>744</v>
      </c>
      <c r="CH78" s="43">
        <v>13028.69</v>
      </c>
      <c r="CI78" s="8">
        <v>20</v>
      </c>
      <c r="CL78" s="37" t="s">
        <v>73</v>
      </c>
      <c r="CM78" s="6">
        <f t="shared" si="1303"/>
        <v>720</v>
      </c>
      <c r="CN78" s="8">
        <v>615.09</v>
      </c>
      <c r="CO78" s="6">
        <v>104.90999999999997</v>
      </c>
      <c r="CP78" s="8">
        <v>0</v>
      </c>
      <c r="CQ78" s="6">
        <f t="shared" si="1304"/>
        <v>0</v>
      </c>
      <c r="CR78" s="8">
        <v>0</v>
      </c>
      <c r="CS78" s="6">
        <f t="shared" si="1305"/>
        <v>0</v>
      </c>
      <c r="CT78" s="6">
        <v>0</v>
      </c>
      <c r="CU78" s="6">
        <f t="shared" si="1306"/>
        <v>0</v>
      </c>
      <c r="CV78" s="8">
        <v>0</v>
      </c>
      <c r="CW78" s="69">
        <f t="shared" si="1386"/>
        <v>1</v>
      </c>
      <c r="CX78" s="69">
        <f t="shared" si="1387"/>
        <v>1</v>
      </c>
      <c r="CY78" s="149">
        <f t="shared" si="1388"/>
        <v>0</v>
      </c>
      <c r="CZ78" s="149">
        <f t="shared" si="1389"/>
        <v>0</v>
      </c>
      <c r="DA78" s="69">
        <f t="shared" si="1390"/>
        <v>0.87096326388888878</v>
      </c>
      <c r="DB78" s="6"/>
      <c r="DC78" s="6">
        <f t="shared" si="1312"/>
        <v>720</v>
      </c>
      <c r="DD78" s="43">
        <v>12541.870999999999</v>
      </c>
      <c r="DE78" s="8">
        <v>20</v>
      </c>
      <c r="DF78" s="6"/>
      <c r="DH78" s="37" t="s">
        <v>73</v>
      </c>
      <c r="DI78" s="6">
        <f t="shared" si="1313"/>
        <v>649</v>
      </c>
      <c r="DJ78" s="8">
        <v>539.86</v>
      </c>
      <c r="DK78" s="8">
        <v>109.13999999999999</v>
      </c>
      <c r="DL78" s="8">
        <v>6.41</v>
      </c>
      <c r="DM78" s="69">
        <f t="shared" si="1432"/>
        <v>8.6155913978494623E-3</v>
      </c>
      <c r="DN78" s="8">
        <v>0</v>
      </c>
      <c r="DO78" s="69">
        <f t="shared" si="1432"/>
        <v>0</v>
      </c>
      <c r="DP78" s="91">
        <v>88.59</v>
      </c>
      <c r="DQ78" s="69">
        <f t="shared" ref="DQ78" si="1436">(DP78/$DH$4)</f>
        <v>0.1190725806451613</v>
      </c>
      <c r="DR78" s="8">
        <v>0</v>
      </c>
      <c r="DS78" s="69">
        <f t="shared" si="1416"/>
        <v>0.87231182795698925</v>
      </c>
      <c r="DT78" s="69">
        <f t="shared" si="1417"/>
        <v>0.87231182795698925</v>
      </c>
      <c r="DU78" s="149">
        <f t="shared" si="1418"/>
        <v>1.1734124151060831E-2</v>
      </c>
      <c r="DV78" s="149">
        <f t="shared" si="1419"/>
        <v>0</v>
      </c>
      <c r="DW78" s="69">
        <f t="shared" si="1420"/>
        <v>0.74260255376344086</v>
      </c>
      <c r="DX78" s="69"/>
      <c r="DY78" s="15">
        <f t="shared" si="1319"/>
        <v>744</v>
      </c>
      <c r="DZ78" s="43">
        <v>11049.925999999999</v>
      </c>
      <c r="EA78" s="8">
        <v>20</v>
      </c>
      <c r="ED78" s="37" t="s">
        <v>73</v>
      </c>
      <c r="EE78" s="6">
        <f t="shared" si="1320"/>
        <v>689.89</v>
      </c>
      <c r="EF78" s="8">
        <v>539.84</v>
      </c>
      <c r="EG78" s="8">
        <v>150.05000000000001</v>
      </c>
      <c r="EH78" s="8">
        <v>27.73</v>
      </c>
      <c r="EI78" s="6">
        <f t="shared" si="1321"/>
        <v>3.7271505376344084E-2</v>
      </c>
      <c r="EJ78" s="8">
        <v>26.38</v>
      </c>
      <c r="EK78" s="6">
        <f t="shared" si="1322"/>
        <v>3.5456989247311825E-2</v>
      </c>
      <c r="EL78" s="6">
        <v>0</v>
      </c>
      <c r="EM78" s="6">
        <f t="shared" si="1323"/>
        <v>0</v>
      </c>
      <c r="EN78" s="8">
        <v>0</v>
      </c>
      <c r="EO78" s="69">
        <f t="shared" si="1324"/>
        <v>0.92727150537634406</v>
      </c>
      <c r="EP78" s="69">
        <f t="shared" si="1325"/>
        <v>0.92727150537634406</v>
      </c>
      <c r="EQ78" s="149">
        <f t="shared" si="1326"/>
        <v>4.8857409658720506E-2</v>
      </c>
      <c r="ER78" s="149"/>
      <c r="ES78" s="69">
        <f t="shared" si="1327"/>
        <v>0.72925873655913986</v>
      </c>
      <c r="ET78" s="6"/>
      <c r="EU78" s="6">
        <f t="shared" si="1328"/>
        <v>744.00000000000011</v>
      </c>
      <c r="EV78" s="85">
        <v>10851.37</v>
      </c>
      <c r="EW78" s="8">
        <v>20</v>
      </c>
      <c r="EZ78" s="37" t="s">
        <v>73</v>
      </c>
      <c r="FA78" s="6">
        <f t="shared" si="1329"/>
        <v>672</v>
      </c>
      <c r="FB78" s="8">
        <v>215.15</v>
      </c>
      <c r="FC78" s="8">
        <v>456.85</v>
      </c>
      <c r="FD78" s="8">
        <v>0</v>
      </c>
      <c r="FE78" s="6">
        <f t="shared" si="1330"/>
        <v>0</v>
      </c>
      <c r="FF78" s="8">
        <v>0</v>
      </c>
      <c r="FG78" s="6">
        <f t="shared" si="1331"/>
        <v>0</v>
      </c>
      <c r="FH78" s="6">
        <v>0</v>
      </c>
      <c r="FI78" s="6">
        <f t="shared" si="1332"/>
        <v>0</v>
      </c>
      <c r="FJ78" s="8">
        <v>0</v>
      </c>
      <c r="FK78" s="69">
        <f t="shared" si="1333"/>
        <v>0.90322580645161288</v>
      </c>
      <c r="FL78" s="69">
        <f t="shared" si="1334"/>
        <v>1</v>
      </c>
      <c r="FM78" s="149">
        <f t="shared" si="1335"/>
        <v>0</v>
      </c>
      <c r="FN78" s="149">
        <f t="shared" si="1336"/>
        <v>0</v>
      </c>
      <c r="FO78" s="69">
        <f t="shared" si="1337"/>
        <v>0.31823102678571424</v>
      </c>
      <c r="FP78" s="6"/>
      <c r="FQ78" s="6">
        <f t="shared" si="1338"/>
        <v>672</v>
      </c>
      <c r="FR78" s="43">
        <v>4277.0249999999996</v>
      </c>
      <c r="FS78" s="8">
        <v>20</v>
      </c>
      <c r="FV78" s="37" t="s">
        <v>73</v>
      </c>
      <c r="FW78" s="6">
        <f t="shared" si="1339"/>
        <v>532.22</v>
      </c>
      <c r="FX78" s="8">
        <v>355.12</v>
      </c>
      <c r="FY78" s="8">
        <v>177.1</v>
      </c>
      <c r="FZ78" s="8">
        <v>211.78</v>
      </c>
      <c r="GA78" s="69">
        <f t="shared" si="1340"/>
        <v>0.28465053763440862</v>
      </c>
      <c r="GB78" s="8">
        <v>0</v>
      </c>
      <c r="GC78" s="69">
        <f t="shared" si="1341"/>
        <v>0</v>
      </c>
      <c r="GD78" s="6">
        <v>0</v>
      </c>
      <c r="GE78" s="69">
        <f t="shared" si="1342"/>
        <v>0</v>
      </c>
      <c r="GF78" s="8">
        <v>0</v>
      </c>
      <c r="GG78" s="69">
        <f t="shared" si="1343"/>
        <v>0.71534946236559138</v>
      </c>
      <c r="GH78" s="69">
        <f t="shared" si="1344"/>
        <v>0.71534946236559138</v>
      </c>
      <c r="GI78" s="149">
        <f t="shared" si="1345"/>
        <v>0.37357558652319633</v>
      </c>
      <c r="GJ78" s="149">
        <f t="shared" si="1346"/>
        <v>0</v>
      </c>
      <c r="GK78" s="69">
        <f t="shared" si="1347"/>
        <v>0.48138991935483871</v>
      </c>
      <c r="GL78" s="69"/>
      <c r="GM78" s="6">
        <f t="shared" si="1348"/>
        <v>744</v>
      </c>
      <c r="GN78" s="43">
        <v>7163.0820000000003</v>
      </c>
      <c r="GO78" s="8">
        <v>20</v>
      </c>
      <c r="GR78" s="37" t="s">
        <v>73</v>
      </c>
      <c r="GS78" s="6">
        <f t="shared" si="1349"/>
        <v>506.2</v>
      </c>
      <c r="GT78" s="8">
        <v>394.87</v>
      </c>
      <c r="GU78" s="8">
        <v>111.33</v>
      </c>
      <c r="GV78" s="8">
        <v>213.8</v>
      </c>
      <c r="GW78" s="6">
        <f t="shared" si="1350"/>
        <v>0.29694444444444446</v>
      </c>
      <c r="GX78" s="8">
        <v>0</v>
      </c>
      <c r="GY78" s="6">
        <f t="shared" si="1351"/>
        <v>0</v>
      </c>
      <c r="GZ78" s="6">
        <v>0</v>
      </c>
      <c r="HA78" s="6">
        <f t="shared" si="1352"/>
        <v>0</v>
      </c>
      <c r="HB78" s="8">
        <v>0</v>
      </c>
      <c r="HC78" s="69">
        <f t="shared" si="1353"/>
        <v>0.68037634408602155</v>
      </c>
      <c r="HD78" s="69">
        <f t="shared" si="1354"/>
        <v>0.70305555555555554</v>
      </c>
      <c r="HE78" s="149">
        <f t="shared" si="1355"/>
        <v>0.35125766014424892</v>
      </c>
      <c r="HF78" s="149">
        <f t="shared" si="1356"/>
        <v>0</v>
      </c>
      <c r="HG78" s="69">
        <f t="shared" si="1357"/>
        <v>0.5623131944444445</v>
      </c>
      <c r="HH78" s="15">
        <v>0</v>
      </c>
      <c r="HI78" s="6">
        <f t="shared" si="1358"/>
        <v>720</v>
      </c>
      <c r="HJ78" s="85">
        <v>8097.31</v>
      </c>
      <c r="HK78" s="8">
        <v>20</v>
      </c>
      <c r="HN78" s="37" t="s">
        <v>73</v>
      </c>
      <c r="HO78" s="8">
        <f t="shared" si="1359"/>
        <v>741.89</v>
      </c>
      <c r="HP78" s="8">
        <v>505.16</v>
      </c>
      <c r="HQ78" s="52">
        <v>236.73</v>
      </c>
      <c r="HR78" s="8">
        <v>2.11</v>
      </c>
      <c r="HS78" s="6">
        <f t="shared" si="1360"/>
        <v>2.8360215053763438E-3</v>
      </c>
      <c r="HT78" s="8">
        <v>0</v>
      </c>
      <c r="HU78" s="6">
        <f t="shared" si="1361"/>
        <v>0</v>
      </c>
      <c r="HV78" s="8">
        <v>0</v>
      </c>
      <c r="HW78" s="6">
        <f t="shared" si="1362"/>
        <v>0</v>
      </c>
      <c r="HX78" s="8">
        <v>0</v>
      </c>
      <c r="HY78" s="69">
        <f t="shared" si="1363"/>
        <v>0.99716397849462368</v>
      </c>
      <c r="HZ78" s="69">
        <f t="shared" si="1364"/>
        <v>0.99716397849462368</v>
      </c>
      <c r="IA78" s="69">
        <f t="shared" si="1365"/>
        <v>4.1595205708991265E-3</v>
      </c>
      <c r="IB78" s="149">
        <f t="shared" si="1366"/>
        <v>0</v>
      </c>
      <c r="IC78" s="69">
        <f t="shared" si="1367"/>
        <v>0.66485551075268812</v>
      </c>
      <c r="ID78" s="15">
        <v>1</v>
      </c>
      <c r="IE78" s="6">
        <f t="shared" si="1368"/>
        <v>744</v>
      </c>
      <c r="IF78" s="85">
        <v>9893.0499999999993</v>
      </c>
      <c r="IG78" s="8">
        <v>20</v>
      </c>
      <c r="IJ78" s="37" t="s">
        <v>73</v>
      </c>
      <c r="IK78" s="49">
        <f t="shared" si="1369"/>
        <v>301.63</v>
      </c>
      <c r="IL78" s="49">
        <v>236.28</v>
      </c>
      <c r="IM78" s="8">
        <v>65.349999999999994</v>
      </c>
      <c r="IN78" s="49">
        <v>418.37</v>
      </c>
      <c r="IO78" s="69">
        <f t="shared" si="1370"/>
        <v>0.58106944444444442</v>
      </c>
      <c r="IP78" s="8">
        <v>0</v>
      </c>
      <c r="IQ78" s="69">
        <f t="shared" si="1371"/>
        <v>0</v>
      </c>
      <c r="IR78" s="6">
        <v>0</v>
      </c>
      <c r="IS78" s="69">
        <f t="shared" si="1371"/>
        <v>0</v>
      </c>
      <c r="IT78" s="8">
        <v>0</v>
      </c>
      <c r="IU78" s="69">
        <f t="shared" si="1372"/>
        <v>0.41893055555555553</v>
      </c>
      <c r="IV78" s="69">
        <f t="shared" si="1373"/>
        <v>0.41893055555555553</v>
      </c>
      <c r="IW78" s="164">
        <f t="shared" si="1429"/>
        <v>0.63907431451920882</v>
      </c>
      <c r="IX78" s="149">
        <f t="shared" si="1374"/>
        <v>0</v>
      </c>
      <c r="IY78" s="69">
        <f t="shared" si="1408"/>
        <v>0.32002902777777775</v>
      </c>
      <c r="IZ78" s="15">
        <v>1</v>
      </c>
      <c r="JA78" s="15">
        <f t="shared" si="1375"/>
        <v>720</v>
      </c>
      <c r="JB78" s="92">
        <v>4608.4179999999997</v>
      </c>
      <c r="JC78" s="8">
        <v>20</v>
      </c>
      <c r="JE78" s="6"/>
    </row>
    <row r="79" spans="1:265" ht="15" x14ac:dyDescent="0.25">
      <c r="B79" s="95" t="s">
        <v>39</v>
      </c>
      <c r="C79" s="98">
        <f>SUM(C65:C78)</f>
        <v>9672</v>
      </c>
      <c r="D79" s="98">
        <f>SUM(D65:D78)</f>
        <v>7972</v>
      </c>
      <c r="E79" s="98">
        <f>SUM(E65:E78)</f>
        <v>1700</v>
      </c>
      <c r="F79" s="25">
        <f>SUM(F65:F78)</f>
        <v>0</v>
      </c>
      <c r="G79" s="78">
        <f>(G65*U65+G66*U66+G67*U67+G68*U68+G69*U69+G70*U70+G71*U71+G72*U72+G73*U73+G74*U74+G75*U75+G76*U76+G77*U77+G78*U78)/U79</f>
        <v>0</v>
      </c>
      <c r="H79" s="25">
        <f>SUM(H65:H78)</f>
        <v>744</v>
      </c>
      <c r="I79" s="78">
        <f>(I65*U65+I66*U66+I67*U67+I68*U68+I69*U69+I70*U70+I71*U71+I72*U72+I73*U73+I74*U74+I75*U75+I76*U76+I77*U77+I78*U78)/U79</f>
        <v>7.3529411764705885E-2</v>
      </c>
      <c r="J79" s="26">
        <f>SUM(J65:J78)</f>
        <v>0</v>
      </c>
      <c r="K79" s="78">
        <f>(K65*U65+K66*U66+K67*U67+K68*U68+K69*U69+K70*U70+K71*U71+K72*U72+K73*U73+K74*U74+K75*U75+K76*U76+K77*U77+K78*U78)/U79</f>
        <v>0</v>
      </c>
      <c r="L79" s="25">
        <f>SUM(L65:L78)</f>
        <v>0</v>
      </c>
      <c r="M79" s="78">
        <f>(M65*U65+M66*U66+M67*U67+M68*U68+M69*U69+M70*U70+M71*U71+M72*U72+M73*U73+M74*U74+M75*U75+M76*U76+M77*U77+M78*U78)/U79</f>
        <v>0.92647058823529416</v>
      </c>
      <c r="N79" s="81">
        <f>(N65*U65+N66*U66+N67*U67+N68*U68+N69*U69+N70*U70+N71*U71+N72*U72+N73*U73+N74*U74+N75*U75+N76*U76+N77*U77+N78*U78)/U79</f>
        <v>0.92647058823529416</v>
      </c>
      <c r="O79" s="81">
        <f>(O65*U65+O66*U66+O67*U67+O68*U68+O69*U69+O70*U70+O71*U71+O72*U72+O73*U73+O74*U74+O75*U75+O76*U76+O77*U77+O78*U78)/U79</f>
        <v>0</v>
      </c>
      <c r="P79" s="81">
        <f>(P65*U65+P66*U66+P67*U67+P68*U68+P69*U69+P70*U70+P71*U71+P72*U72+P73*U73+P74*U74+P75*U75+P76*U76+P77*U77+P78*U78)/U79</f>
        <v>0</v>
      </c>
      <c r="Q79" s="81">
        <f>(Q65*U65+Q66*U66+Q67*U67+Q68*U68+Q69*U69+Q70*U70+Q71*U71+Q72*U72+Q73*U73+Q74*U74+Q75*U75+Q76*U76+Q77*U77+Q78*U78)/U79</f>
        <v>0.75878211179633148</v>
      </c>
      <c r="R79" s="25">
        <f>SUM(R65:R78)</f>
        <v>0</v>
      </c>
      <c r="S79" s="30">
        <f>SUM(S65:S78)</f>
        <v>10416</v>
      </c>
      <c r="T79" s="96">
        <f>SUM(T65:T78)</f>
        <v>191941.52300000002</v>
      </c>
      <c r="U79" s="25">
        <f>SUM(U65:U78)</f>
        <v>340</v>
      </c>
      <c r="X79" s="87" t="s">
        <v>39</v>
      </c>
      <c r="Y79" s="29">
        <f>SUM(Y65:Y78)</f>
        <v>10416</v>
      </c>
      <c r="Z79" s="29">
        <f t="shared" ref="Z79:AH79" si="1437">SUM(Z65:Z78)</f>
        <v>8185</v>
      </c>
      <c r="AA79" s="29">
        <f>SUM(AA65:AA78)</f>
        <v>2231</v>
      </c>
      <c r="AB79" s="29">
        <f t="shared" si="1437"/>
        <v>0</v>
      </c>
      <c r="AC79" s="79">
        <f>(AC65*AQ65+AC66*AQ66+AC67*AQ67+AC68*AQ68+AC69*AQ69+AC70*AQ70+AC71*AQ71+AC72*AQ72+AC73*AQ73+AC74*AQ74+AC75*AQ75+AC76*AQ76+AC77*AQ77+AC78*AQ78)/AQ79</f>
        <v>0</v>
      </c>
      <c r="AD79" s="29">
        <f t="shared" si="1437"/>
        <v>0</v>
      </c>
      <c r="AE79" s="79">
        <f>(AE65*AQ65+AE66*AQ66+AE67*AQ67+AE68*AQ68+AE69*AQ69+AE70*AQ70+AE71*AQ71+AE72*AQ72+AE73*AQ73+AE74*AQ74+AE75*AQ75+AE76*AQ76+AE77*AQ77+AE78*AQ78)/AQ79</f>
        <v>0</v>
      </c>
      <c r="AF79" s="30">
        <f>SUM(AF65:AF78)</f>
        <v>0</v>
      </c>
      <c r="AG79" s="79">
        <f>(AG65*AQ65+AG66*AQ66+AG67*AQ67+AG68*AQ68+AG69*AQ69+AG70*AQ70+AG71*AQ71+AG72*AQ72+AG73*AQ73+AG74*AQ74+AG75*AQ75+AG76*AQ76+AG77*AQ77+AG78*AQ78)/AQ79</f>
        <v>0</v>
      </c>
      <c r="AH79" s="29">
        <f t="shared" si="1437"/>
        <v>0</v>
      </c>
      <c r="AI79" s="78">
        <f>(AI65*AQ65+AI66*AQ66+AI67*AQ67+AI68*AQ68+AI69*AQ69+AI70*AQ70+AI71*AQ71+AI72*AQ72+AI73*AQ73+AI74*AQ74+AI75*AQ75+AI76*AQ76+AI77*AQ77+AI78*AQ78)/AQ79</f>
        <v>1</v>
      </c>
      <c r="AJ79" s="81">
        <f>(AJ65*AQ65+AJ66*AQ66+AJ67*AQ67+AJ68*AQ68+AJ69*AQ69+AJ70*AQ70+AJ71*AQ71+AJ72*AQ72+AJ73*AQ73+AJ74*AQ74+AJ75*AQ75+AJ76*AQ76+AJ77*AQ77+AJ78*AQ78)/AQ79</f>
        <v>1</v>
      </c>
      <c r="AK79" s="79">
        <f>(AK65*AQ65+AK66*AQ66+AK67*AQ67+AK68*AQ7+AK69*AQ69+AK70*AQ70+AK71*AQ71+AK72*AQ72+AK73*AQ73+AK74*AQ74+AK75*AQ75+AK76*AQ76+AK77*AQ77+AK78*AQ78)/AQ79</f>
        <v>0</v>
      </c>
      <c r="AL79" s="79">
        <f>(AL65*AQ65+AL66*AQ66+AL67*AQ67+AL68*AQ68+AL69*AQ69+AL70*AQ70+AL71*AQ71+AL72*AQ72+AL73*AQ73+AL74*AQ74+AL75*AQ75+AL76*AQ76+AL77*AQ77+AL78*AQ78)/AQ79</f>
        <v>0</v>
      </c>
      <c r="AM79" s="81">
        <f>(AM65*AQ65+AM66*AQ66+AM67*AQ67+AM68*AQ68+AM69*AQ69+AM70*AQ70+AM71*AQ71+AM72*AQ72+AM73*AQ73+AM74*AQ74+AM75*AQ75+AM76*AQ76+AM77*AQ77+AM78*AQ78)/AQ79</f>
        <v>0.769401197817837</v>
      </c>
      <c r="AN79" s="29">
        <f t="shared" ref="AN79" si="1438">SUM(AN65:AN78)</f>
        <v>0</v>
      </c>
      <c r="AO79" s="30">
        <f>SUM(AO65:AO78)</f>
        <v>10416</v>
      </c>
      <c r="AP79" s="88">
        <f>SUM(AP65:AP78)</f>
        <v>194627.72700000001</v>
      </c>
      <c r="AQ79" s="29">
        <f>SUM(AQ65:AQ78)</f>
        <v>340</v>
      </c>
      <c r="AT79" s="87" t="s">
        <v>39</v>
      </c>
      <c r="AU79" s="98">
        <f>SUM(AU65:AU78)</f>
        <v>10080</v>
      </c>
      <c r="AV79" s="98">
        <f>SUM(AV65:AV78)</f>
        <v>8704</v>
      </c>
      <c r="AW79" s="98">
        <f>SUM(AW65:AW78)</f>
        <v>1376</v>
      </c>
      <c r="AX79" s="25">
        <f>SUM(AX65:AX78)</f>
        <v>0</v>
      </c>
      <c r="AY79" s="78">
        <f>(AY65*BM65+AY66*BM66+AY67*BM67+AY68*BM68+AY69*BM69+AY70*BM70+AY71*BM71+AY72*BM72+AY73*BM73+AY74*BM74+AY75*BM75+AY76*BM76+AY77*BM77+AY78*BM78)/BM79</f>
        <v>0</v>
      </c>
      <c r="AZ79" s="25">
        <f>SUM(AZ65:AZ78)</f>
        <v>0</v>
      </c>
      <c r="BA79" s="78">
        <f>(BA65*BM65+BA66*BM66+BA67*BM67+BA68*BM68+BA69*BM69+BA70*BM70+BA71*BM71+BA72*BM72+BA73*BM73+BA74*BM74+BA75*BM75+BA76*BM76+BA77*BM77+BA78*BM78)/BM79</f>
        <v>0</v>
      </c>
      <c r="BB79" s="25">
        <f>SUM(BB65:BB78)</f>
        <v>0</v>
      </c>
      <c r="BC79" s="79">
        <f>(BC65*BM65+BC66*BM66+BC67*BM67+BC68*BM68+BC69*BM69+BC70*BM70+BC71*BM71+BC72*BM72+BC73*BM73+BC74*BM74+BC75*BM75+BC76*BM76+BC77*BM77+BC78*BM78)/BM79</f>
        <v>0</v>
      </c>
      <c r="BD79" s="25">
        <f>SUM(BD65:BD78)</f>
        <v>0</v>
      </c>
      <c r="BE79" s="78">
        <f>(BE65*BM65+BE66*BM66+BE67*BM67+BE68*BM68+BE69*BM69+BE70*BM70+BE71*BM71+BE72*BM72+BE73*BM73+BE74*BM74+BE75*BM75+BE76*BM76+BE77*BM77+BE78*BM78)/BM79</f>
        <v>1</v>
      </c>
      <c r="BF79" s="81">
        <f>(BF65*BM65+BF66*BM66+BF67*BM67+BF68*BM68+BF69*BM69+BF70*BM70+BF71*BM71+BF72*BM72+BF73*BM73+BF74*BM74+BF75*BM75+BF76*BM76+BF77*BM77+BF78*BM78)/BM79</f>
        <v>1</v>
      </c>
      <c r="BG79" s="81">
        <f>(BG65*BM65+BG66*BM66+BG67*BM67+BG68*BM68+BG69*BM69+BG70*BM70+BG71*BM71+BG72*BM72+BG73*BM73+BG74*BM74+BG75*BM75+BG76*BM76+BG77*BM77+BG78*BM78)/BM79</f>
        <v>0</v>
      </c>
      <c r="BH79" s="81"/>
      <c r="BI79" s="81">
        <f>(BI65*BM65+BI66*BM66+BI67*BM67+BI68*BM68+BI69*BM69+BI70*BM70+BI71*BM71+BI72*BM72+BI73*BM73+BI74*BM74+BI75*BM75+BI76*BM76+BI77*BM77+BI78*BM78)/BM79</f>
        <v>0.85798111928104592</v>
      </c>
      <c r="BJ79" s="149"/>
      <c r="BK79" s="30">
        <f>SUM(BK65:BK78)</f>
        <v>10080</v>
      </c>
      <c r="BL79" s="97">
        <f>SUM(BL65:BL78)</f>
        <v>210033.77799999996</v>
      </c>
      <c r="BM79" s="29">
        <f>SUM(BM65:BM78)</f>
        <v>340</v>
      </c>
      <c r="BP79" s="87" t="s">
        <v>39</v>
      </c>
      <c r="BQ79" s="25">
        <f>SUM(BQ65:BQ78)</f>
        <v>10416</v>
      </c>
      <c r="BR79" s="25">
        <f>SUM(BR65:BR78)</f>
        <v>7927</v>
      </c>
      <c r="BS79" s="25">
        <f>SUM(BS65:BS78)</f>
        <v>2489</v>
      </c>
      <c r="BT79" s="25">
        <f>SUM(BT65:BT78)</f>
        <v>0</v>
      </c>
      <c r="BU79" s="78">
        <f>(BU65*CI65+BU66*CI66+BU67*CI67+BU68*CI68+BU69*CI69+BU70*CI70+BU71*CI71+BU72*CI72+BU73*CI73+BU74*CI74+BU75*CI75+BU76*CI76+BU77*CI77+BU78*CI78)/CI79</f>
        <v>0</v>
      </c>
      <c r="BV79" s="25">
        <f>SUM(BV65:BV78)</f>
        <v>0</v>
      </c>
      <c r="BW79" s="78">
        <f>(BW65*CI65+BW66*CI66+BW67*CI67+BW68*CI68+BW69*CI69+BW70*CI70+BW71*CI71+BW72*CI72+BW73*CI73+BW74*CI74+BW75*CI75+BW76*CI76+BW77*CI77+BW78*CI78)/CI79</f>
        <v>0</v>
      </c>
      <c r="BX79" s="26">
        <f>SUM(BX65:BX78)</f>
        <v>0</v>
      </c>
      <c r="BY79" s="79">
        <f>(BY65*CI65+BY66*CI66+BY67*CI67+BY68*CI68+BY69*CI69+BY70*CI70+BY71*CI71+BY72*CI72+BY73*CI73+BY74*CI74+BY75*CI75+BY76*CI76+BY77*CI77+BY78*CI78)/CI79</f>
        <v>0</v>
      </c>
      <c r="BZ79" s="25">
        <f>SUM(BZ65:BZ78)</f>
        <v>0</v>
      </c>
      <c r="CA79" s="78">
        <f>(CA65*CI65+CA66*CI66+CA67*CI67+CA68*CI68+CA69*CI69+CA70*CI70+CA71*CI71+CA72*CI72+CA73*CI73+CA74*CI74+CA75*CI75+CA76*CI76+CA77*CI77+CA78*CI78)/CI79</f>
        <v>1</v>
      </c>
      <c r="CB79" s="81">
        <f>(CB65*CI65+CB66*CI66+CB67*CI67+CB68*CI68+CB69*CI69+CB70*CI70+CB71*CI71+CB72*CI72+CB73*CI73+CB74*CI74+CB75*CI75+CB76*CI76+CB77*CI77+CB78*CI78)/CI79</f>
        <v>1</v>
      </c>
      <c r="CC79" s="81">
        <f>(CC65*CI65+CC66*CI66+CC67*CI67+CC68*CI68+CC69*CI69+CC70*CI70+CC71*CI71+CC72*CI72+CC73*CI73+CC74*CI74+CC75*CI75+CC76*CI76+CC77*CI77+CC78*CI78)/CI79</f>
        <v>0</v>
      </c>
      <c r="CD79" s="81"/>
      <c r="CE79" s="81">
        <f>(CE65*CI65+CE66*CI66+CE67*CI67+CE68*CI68+CE69*CI69+CE70*CI70+CE71*CI71+CE72*CI72+CE73*CI73+CE74*CI74+CE75*CI75+CE76*CI76+CE77*CI77+CE78*CI78)/CI79</f>
        <v>0.75297378241619228</v>
      </c>
      <c r="CF79" s="149"/>
      <c r="CG79" s="33">
        <f>SUM(CG65:CG78)</f>
        <v>10416</v>
      </c>
      <c r="CH79" s="45">
        <f>SUM(CH65:CH78)</f>
        <v>190472.24800000002</v>
      </c>
      <c r="CI79" s="29">
        <f>SUM(CI65:CI78)</f>
        <v>340</v>
      </c>
      <c r="CL79" s="87" t="s">
        <v>39</v>
      </c>
      <c r="CM79" s="25">
        <f>SUM(CM65:CM78)</f>
        <v>9118.8000000000011</v>
      </c>
      <c r="CN79" s="25">
        <f>SUM(CN65:CN78)</f>
        <v>7172.21</v>
      </c>
      <c r="CO79" s="26">
        <f>SUM(CO65:CO78)</f>
        <v>1946.5900000000001</v>
      </c>
      <c r="CP79" s="25">
        <f>SUM(CP65:CP78)</f>
        <v>842.02999999999986</v>
      </c>
      <c r="CQ79" s="78">
        <f>(CQ65*DE65+CQ66*DE66+CQ67*DE67+CQ68*DE68+CQ69*DE69+CQ70*DE70+CQ71*DE71+CQ72*DE72+CQ73*DE73+CQ74*DE74+CQ75*DE75+CQ76*DE76+CQ77*DE77+CQ78*DE78)/DE79</f>
        <v>8.5988153594771258E-2</v>
      </c>
      <c r="CR79" s="25">
        <f>SUM(CR65:CR78)</f>
        <v>0</v>
      </c>
      <c r="CS79" s="78">
        <f>(CS65*DE65+CS66*DE66+CS67*DE67+CS68*DE68+CS69*DE69+CS70*DE70+CS71*DE71+CS72*DE72+CS73*DE73+CS74*DE74+CS75*DE75+CS76*DE76+CS77*DE77+CS78*DE78)/DE79</f>
        <v>0</v>
      </c>
      <c r="CT79" s="26">
        <f>SUM(CT65:CT78)</f>
        <v>119.17</v>
      </c>
      <c r="CU79" s="79">
        <f>(CU65*DE65+CU66*DE66+CU67*DE67+CU68*DE68+CU69*DE69+CU70*DE70+CU71*DE71+CU72*DE72+CU73*DE73+CU74*DE74+CU75*DE75+CU76*DE76+CU77*DE77+CU78*DE78)/DE79</f>
        <v>1.217013888888889E-2</v>
      </c>
      <c r="CV79" s="25">
        <f>SUM(CV65:CV78)</f>
        <v>0</v>
      </c>
      <c r="CW79" s="78">
        <f>(CW65*DE65+CW66*DE66+CW67*DE67+CW68*DE68+CW69*DE69+CW70*DE70+CW71*DE71+CW72*DE72+CW73*DE73+CW74*DE74+CW75*DE75+CW76*DE76+CW77*DE77+CW78*DE78)/DE79</f>
        <v>0.90184170751633985</v>
      </c>
      <c r="CX79" s="81">
        <f>(CX65*DE65+CX66*DE66+CX67*DE67+CX68*DE68+CX69*DE69+CX70*DE70+CX71*DE71+CX72*DE72+CX73*DE73+CX74*DE74+CX75*DE75+CX76*DE76+CX77*DE77+CX78*DE78)/DE79</f>
        <v>0.90184170751633985</v>
      </c>
      <c r="CY79" s="81">
        <f>(CY65*DE65+CY66*DE66+CY67*DE67+CY68*DE68+CY69*DE69+CY70*DE70+CY71*DE71+CY72*DE72+CY73*DE73+CY74*DE74+CY75*DE75+CY76*DE76+CY77*DE77+CY78*DE78)/DE79</f>
        <v>0.10408353449252059</v>
      </c>
      <c r="CZ79" s="81"/>
      <c r="DA79" s="81">
        <f>(DA65*DE65+DA66*DE66+DA67*DE67+DA68*DE68+DA69*DE69+DA70*DE70+DA71*DE71+DA72*DE72+DA73*DE73+DA74*DE74+DA75*DE75+DA76*DE76+DA77*DE77+DA78*DE78)/DE79</f>
        <v>0.73322558415032668</v>
      </c>
      <c r="DB79" s="149"/>
      <c r="DC79" s="30">
        <f>SUM(DC65:DC78)</f>
        <v>10080</v>
      </c>
      <c r="DD79" s="45">
        <f>SUM(DD65:DD78)</f>
        <v>179493.62300000002</v>
      </c>
      <c r="DE79" s="29">
        <f>SUM(DE65:DE78)</f>
        <v>340</v>
      </c>
      <c r="DH79" s="87" t="s">
        <v>39</v>
      </c>
      <c r="DI79" s="98">
        <f>SUM(DI65:DI78)</f>
        <v>8969.69</v>
      </c>
      <c r="DJ79" s="98">
        <f>SUM(DJ65:DJ78)</f>
        <v>7386.6999999999989</v>
      </c>
      <c r="DK79" s="98">
        <f>SUM(DK65:DK78)</f>
        <v>1582.9899999999998</v>
      </c>
      <c r="DL79" s="25">
        <f>SUM(DL65:DL78)</f>
        <v>816.93999999999994</v>
      </c>
      <c r="DM79" s="78">
        <f>(DM65*EA65+DM66*EA66+DM67*EA67+DM68*EA68+DM69*EA69+DM70*EA70+DM71*EA71+DM72*EA72+DM73*EA73+DM74*EA74+DM75*EA75+DM76*EA76+DM77*EA77+DM78*EA78)/EA79</f>
        <v>8.0611361480075902E-2</v>
      </c>
      <c r="DN79" s="25">
        <f>SUM(DN65:DN78)</f>
        <v>0</v>
      </c>
      <c r="DO79" s="78">
        <f>(DO65*EA65+DO66*EA66+DO67*EA67+DO68*EA68+DO69*EA69+DO70*EA70+DO71*EA71+DO72*EA72+DO73*EA73+DO74*EA74+DO75*EA75+DO76*EA76+DO77*EA77+DO78*EA78)/EA79</f>
        <v>0</v>
      </c>
      <c r="DP79" s="26">
        <f>SUM(DP65:DP78)</f>
        <v>629.37</v>
      </c>
      <c r="DQ79" s="79">
        <f>(DQ65*EA65+DQ66*EA66+DQ67*EA67+DQ68*EA68+DQ69*EA69+DQ70*EA70+DQ71*EA71+DQ72*EA72+DQ73*EA73+DQ74*EA74+DQ75*EA75+DQ76*EA76+DQ77*EA77+DQ78*EA78)/EA79</f>
        <v>5.8562223276407345E-2</v>
      </c>
      <c r="DR79" s="25">
        <f>SUM(DR65:DR78)</f>
        <v>0</v>
      </c>
      <c r="DS79" s="78">
        <f>(DS65*EA65+DS66*EA66+DS67*EA67+DS68*EA68+DS69*EA69+DS70*EA70+DS71*EA71+DS72*EA72+DS73*EA73+DS74*EA74+DS75*EA75+DS76*EA76+DS77*EA77+DS78*EA78)/EA79</f>
        <v>0.86082641524351666</v>
      </c>
      <c r="DT79" s="81">
        <f>(DT65*EA65+DT66*EA66+DT67*EA67+DT68*EA68+DT69*EA69+DT70*EA70+DT71*EA71+DT72*EA72+DT73*EA73+DT74*EA74+DT75*EA75+DT76*EA76+DT77*EA77+DT78*EA78)/EA79</f>
        <v>0.86082641524351666</v>
      </c>
      <c r="DU79" s="81">
        <f>(DU65*EA65+DU66*EA66+DU67*EA67+DU68*EA68+DU69*EA69+DU70*EA70+DU71*EA71+DU72*EA72+DU73*EA73+DU74*EA74+DU75*EA75+DU76*EA76+DU77*EA77+DU78*EA78)/EA79</f>
        <v>8.2545825812063378E-2</v>
      </c>
      <c r="DV79" s="81">
        <f>(DV65*EA65+DV66*EA66+DV67*EA67+DV68*EA68+DV69*EA69+DV70*EA70+DV71*EA71+DV72*EA72+DV73*EA73+DV74*EA74+DV75*EA75+DV76*EA76+DV77*EA77+DV78*EA78)/EA79</f>
        <v>0</v>
      </c>
      <c r="DW79" s="81">
        <f>(DW65*EA65+DW66*EA66+DW67*EA67+DW68*EA68+DW69*EA69+DW70*EA70+DW71*EA71+DW72*EA72+DW73*EA73+DW74*EA74+DW75*EA75+DW76*EA76+DW77*EA77+DW78*EA78)/EA79</f>
        <v>0.72790311907020866</v>
      </c>
      <c r="DX79" s="149"/>
      <c r="DY79" s="31">
        <f>SUM(DY65:DY78)</f>
        <v>10416</v>
      </c>
      <c r="DZ79" s="45">
        <f>SUM(DZ65:DZ78)</f>
        <v>184130.37300000002</v>
      </c>
      <c r="EA79" s="29">
        <f>SUM(EA65:EA78)</f>
        <v>340</v>
      </c>
      <c r="ED79" s="87" t="s">
        <v>39</v>
      </c>
      <c r="EE79" s="25">
        <f>SUM(EE65:EE78)</f>
        <v>8434.3799999999992</v>
      </c>
      <c r="EF79" s="25">
        <f>SUM(EF65:EF78)</f>
        <v>5836.29</v>
      </c>
      <c r="EG79" s="25">
        <f>SUM(EG65:EG78)</f>
        <v>2598.09</v>
      </c>
      <c r="EH79" s="25">
        <f>SUM(EH65:EH78)</f>
        <v>1623.8700000000003</v>
      </c>
      <c r="EI79" s="78">
        <f>(EI65*EW65+EI66*EW66+EI67*EW67+EI68*EW68+EI69*EW69+EI70*EW70+EI71*EW71+EI72*EW72+EI73*EW73+EI74*EW74+EI75*EW75+EI76*EW76+EI77*EW77+EI78*EW78)/EW79</f>
        <v>0.15993872549019605</v>
      </c>
      <c r="EJ79" s="25">
        <f>SUM(EJ65:EJ78)</f>
        <v>357.75</v>
      </c>
      <c r="EK79" s="78">
        <f>(EK65*EW65+EK66*EW66+EK67*EW67+EK68*EW68+EK69*EW69+EK70*EW70+EK71*EW71+EK72*EW72+EK73*EW73+EK74*EW74+EK75*EW75+EK76*EW76+EK77*EW77+EK78*EW78)/EW79</f>
        <v>3.4834954142947509E-2</v>
      </c>
      <c r="EL79" s="26">
        <f>SUM(EL65:EL78)</f>
        <v>0</v>
      </c>
      <c r="EM79" s="79">
        <f>(EM65*EW65+EM66*EW66+EM67*EW67+EM68*EW68+EM69*EW69+EM70*EW70+EM71*EW71+EM72*EW72+EM73*EW73+EM74*EW74+EM75*EW75+EM76*EW76+EM77*EW77+EM78*EW78)/EW79</f>
        <v>0</v>
      </c>
      <c r="EN79" s="25">
        <f>SUM(EN65:EN78)</f>
        <v>0</v>
      </c>
      <c r="EO79" s="78">
        <f>(EO65*EW65+EO66*EW66+EO67*EW67+EO68*EW68+EO69*EW69+EO70*EW70+EO71*EW71+EO72*EW72+EO73*EW73+EO74*EW74+EO75*EW75+EO76*EW76+EO77*EW77+EO78*EW78)/EW79</f>
        <v>0.80522632036685649</v>
      </c>
      <c r="EP79" s="81">
        <f>(EP65*EW65+EP66*EW66+EP67*EW67+EP68*EW68+EP69*EW69+EP70*EW70+EP71*EW71+EP72*EW72+EP73*EW73+EP74*EW74+EP75*EW75+EP76*EW76+EP77*EW77+EP78*EW78)/EW79</f>
        <v>0.80522632036685649</v>
      </c>
      <c r="EQ79" s="81">
        <f>(EQ65*EW65+EQ66*EW66+EQ67*EW67+EQ68*EW68+EQ69*EW69+EQ70*EW70+EQ71*EW71+EQ72*EW72+EQ73*EW73+EQ74*EW74+EQ75*EW75+EQ76*EW76+EQ77*EW77+EQ78*EW78)/EW79</f>
        <v>0.18319540598951015</v>
      </c>
      <c r="ER79" s="7"/>
      <c r="ES79" s="81">
        <f>(ES65*EW65+ES66*EW66+ES67*EW67+ES68*EW68+ES69*EW69+ES70*EW70+ES71*EW71+ES72*EW72+ES73*EW73+ES74*EW74+ES75*EW75+ES76*EW76+ES77*EW77+ES78*EW78)/EW79</f>
        <v>0.58436751265022135</v>
      </c>
      <c r="ET79" s="149"/>
      <c r="EU79" s="30">
        <f>SUM(EU65:EU78)</f>
        <v>10416</v>
      </c>
      <c r="EV79" s="88">
        <f>SUM(EV65:EV78)</f>
        <v>147821.606</v>
      </c>
      <c r="EW79" s="29">
        <f>SUM(EW65:EW78)</f>
        <v>340</v>
      </c>
      <c r="EZ79" s="87" t="s">
        <v>39</v>
      </c>
      <c r="FA79" s="25">
        <f>SUM(FA65:FA78)</f>
        <v>7939.39</v>
      </c>
      <c r="FB79" s="25">
        <f>SUM(FB65:FB78)</f>
        <v>3631.4600000000005</v>
      </c>
      <c r="FC79" s="25">
        <f>SUM(FC65:FC78)</f>
        <v>4307.93</v>
      </c>
      <c r="FD79" s="25">
        <f>SUM(FD65:FD78)</f>
        <v>1468.6100000000001</v>
      </c>
      <c r="FE79" s="78">
        <f>(FE65*FS65+FE66*FS66+FE67*FS67+FE68*FS68+FE69*FS69+FE70*FS70+FE71*FS71+FE72*FS72+FE73*FS73+FE74*FS74+FE75*FS75+FE76*FS76+FE77*FS77+FE78*FS78)/FS79</f>
        <v>0.1606934961484594</v>
      </c>
      <c r="FF79" s="25">
        <f>SUM(FF65:FF78)</f>
        <v>0</v>
      </c>
      <c r="FG79" s="78">
        <f>(FG65*FS65+FG66*FS66+FG67*FS67+FG68*FS68+FG69*FS69+FG70*FS70+FG71*FS71+FG72*FS72+FG73*FS73+FG74*FS74+FG75*FS75+FG76*FS76+FG77*FS77+FG78*FS78)/FS79</f>
        <v>0</v>
      </c>
      <c r="FH79" s="26">
        <f>SUM(FH65:FH78)</f>
        <v>0</v>
      </c>
      <c r="FI79" s="79">
        <f>(FI65*FS65+FI66*FS66+FI67*FS67+FI68*FS68+FI69*FS69+FI70*FS70+FI71*FS71+FI72*FS72+FI73*FS73+FI74*FS74+FI75*FS75+FI76*FS76+FI77*FS77+FI78*FS78)/FS79</f>
        <v>0</v>
      </c>
      <c r="FJ79" s="25">
        <f>SUM(FJ65:FJ78)</f>
        <v>0</v>
      </c>
      <c r="FK79" s="78">
        <f>(FK65*FS65+FK66*FS66+FK67*FS67+FK68*FS68+FK69*FS69+FK70*FS70+FK71*FS71+FK72*FS72+FK73*FS73+FK74*FS74+FK75*FS75+FK76*FS76+FK77*FS77+FK78*FS78)/FS79</f>
        <v>0.75808329380139128</v>
      </c>
      <c r="FL79" s="81">
        <f>(FL65*FS65+FL66*FS66+FL67*FS67+FL68*FS68+FL69*FS69+FL70*FS70+FL71*FS71+FL72*FS72+FL73*FS73+FL74*FS74+FL75*FS75+FL76*FS76+FL77*FS77+FL78*FS78)/FS79</f>
        <v>0.8393065038515406</v>
      </c>
      <c r="FM79" s="81">
        <f>(FM65*FS65+FM66*FS66+FM67*FS67+FM68*FS68+FM69*FS69+FM70*FS70+FM71*FS71+FM72*FS72+FM73*FS73+FM74*FS74+FM75*FS75+FM76*FS76+FM77*FS77+FM78*FS78)/FS79</f>
        <v>0.17274660931388219</v>
      </c>
      <c r="FN79" s="81"/>
      <c r="FO79" s="81">
        <f>(FO65*FS65+FO66*FS66+FO67*FS67+FO68*FS68+FO69*FS69+FO70*FS70+FO71*FS71+FO72*FS72+FO73*FS73+FO74*FS74+FO75*FS75+FO76*FS76+FO77*FS77+FO78*FS78)/FS79</f>
        <v>0.38859991684173673</v>
      </c>
      <c r="FP79" s="149"/>
      <c r="FQ79" s="30">
        <f>SUM(FQ65:FQ78)</f>
        <v>9408</v>
      </c>
      <c r="FR79" s="45">
        <f>SUM(FR65:FR78)</f>
        <v>88787.309000000008</v>
      </c>
      <c r="FS79" s="29">
        <f>SUM(FS65:FS78)</f>
        <v>340</v>
      </c>
      <c r="FV79" s="87" t="s">
        <v>39</v>
      </c>
      <c r="FW79" s="98">
        <f>SUM(FW65:FW78)</f>
        <v>8360.2999999999993</v>
      </c>
      <c r="FX79" s="98">
        <f>SUM(FX65:FX78)</f>
        <v>6581.7599999999993</v>
      </c>
      <c r="FY79" s="98">
        <f>SUM(FY65:FY78)</f>
        <v>1778.54</v>
      </c>
      <c r="FZ79" s="98">
        <f>SUM(FZ65:FZ78)</f>
        <v>2055.7000000000003</v>
      </c>
      <c r="GA79" s="78">
        <f>(GA65*GO65+GA66*GO66+GA67*GO67+GA68*GO68+GA69*GO69+GA70*GO70+GA71*GO71+GA72*GO72+GA73*GO73+GA74*GO74+GA75*GO75+GA76*GO76+GA77*GO77+GA78*GO78)/GO79</f>
        <v>0.19897849462365591</v>
      </c>
      <c r="GB79" s="25">
        <f>SUM(GB65:GB78)</f>
        <v>0</v>
      </c>
      <c r="GC79" s="78">
        <f>(GC65*GO65+GC66*GO66+GC67*GO67+GC68*GO68+GC69*GO69+GC70*GO70+GC71*GO71+GC72*GO72+GC73*GO73+GC74*GO74+GC75*GO75+GC76*GO76+GC77*GO77+GC78*GO78)/GO79</f>
        <v>0</v>
      </c>
      <c r="GD79" s="26">
        <f>SUM(GD65:GD78)</f>
        <v>0</v>
      </c>
      <c r="GE79" s="79">
        <f>(GE65*GO65+GE66*GO66+GE67*GO67+GE68*GO68+GE69*GO69+GE70*GO70+GE71*GO71+GE72*GO72+GE73*GO73+GE74*GO74+GE75*GO75+GE76*GO76+GE77*GO77+GE78*GO78)/GO79</f>
        <v>0</v>
      </c>
      <c r="GF79" s="25">
        <f>SUM(GF65:GF78)</f>
        <v>0</v>
      </c>
      <c r="GG79" s="78">
        <f>(GG65*GO65+GG66*GO66+GG67*GO67+GG68*GO68+GG69*GO69+GG70*GO70+GG71*GO71+GG72*GO72+GG73*GO73+GG74*GO74+GG75*GO75+GG76*GO76+GG77*GO77+GG78*GO78)/GO79</f>
        <v>0.8010215053763442</v>
      </c>
      <c r="GH79" s="81">
        <f>(GH65*GO65+GH66*GO66+GH67*GO67+GH68*GO68+GH69*GO69+GH70*GO70+GH71*GO71+GH72*GO72+GH73*GO73+GH74*GO74+GH75*GO75+GH76*GO76+GH77*GO77+GH78*GO78)/GO79</f>
        <v>0.8010215053763442</v>
      </c>
      <c r="GI79" s="81">
        <f>(GI65*GO65+GI66*GO66+GI67*GO67+GI68*GO68+GI69*GO69+GI70*GO70+GI71*GO71+GI72*GO72+GI73*GO73+GI74*GO74+GI75*GO75+GI76*GO76+GI77*GO77+GI78*GO78)/GO79</f>
        <v>0.2104829068153371</v>
      </c>
      <c r="GJ79" s="81">
        <f>(GJ65*GO65+GJ66*GO66+GJ67*GO67+GJ68*GO68+GJ69*GO69+GJ70*GO70+GJ71*GO71+GJ72*GO72+GJ73*GO73+GJ74*GO74+GJ75*GO75+GJ76*GO76+GJ77*GO77+GJ78*GO78)/GO79</f>
        <v>0</v>
      </c>
      <c r="GK79" s="81">
        <f>(GK65*GO65+GK66*GO66+GK67*GO67+GK68*GO68+GK69*GO69+GK70*GO70+GK71*GO71+GK72*GO72+GK73*GO73+GK74*GO74+GK75*GO75+GK76*GO76+GK77*GO77+GK78*GO78)/GO79</f>
        <v>0.62278719955724238</v>
      </c>
      <c r="GL79" s="149"/>
      <c r="GM79" s="47">
        <f>SUM(GM65:GM78)</f>
        <v>10416</v>
      </c>
      <c r="GN79" s="45">
        <f>SUM(GN65:GN78)</f>
        <v>157540.25</v>
      </c>
      <c r="GO79" s="29">
        <f>SUM(GO65:GO78)</f>
        <v>340</v>
      </c>
      <c r="GR79" s="87" t="s">
        <v>39</v>
      </c>
      <c r="GS79" s="127">
        <f>SUM(GS65:GS78)</f>
        <v>7891.5899999999992</v>
      </c>
      <c r="GT79" s="127">
        <f>SUM(GT65:GT78)</f>
        <v>6546.96</v>
      </c>
      <c r="GU79" s="127">
        <f>SUM(GU65:GU78)</f>
        <v>1344.6299999999999</v>
      </c>
      <c r="GV79" s="127">
        <f>SUM(GV65:GV78)</f>
        <v>2188.4100000000003</v>
      </c>
      <c r="GW79" s="116">
        <f>(GW65*HK65+GW66*HK66+GW67*HK67+GW68*HK68+GW69*HK69+GW70*HK70+GW71*HK71+GW72*HK72+GW73*HK73+GW74*HK74+GW75*HK75+GW76*HK76+GW77*HK77+GW78*HK78)/HK79</f>
        <v>0.21912275326797381</v>
      </c>
      <c r="GX79" s="115">
        <f>SUM(GX65:GX78)</f>
        <v>0</v>
      </c>
      <c r="GY79" s="116">
        <f>(GY65*HK65+GY66*HK66+GY67*HK67+GY68*HK68+GY69*HK69+GY70*HK70+GY71*HK71+GY72*HK72+GY73*HK73+GY74*HK74+GY75*HK75+GY76*HK76+GY77*HK77+GY78*HK78)/HK79</f>
        <v>0</v>
      </c>
      <c r="GZ79" s="117">
        <f>SUM(GZ65:GZ78)</f>
        <v>0</v>
      </c>
      <c r="HA79" s="118">
        <f>(HA65*HK65+HA66*HK66+HA67*HK67+HA68*HK68+HA69*HK69+HA70*HK70+HA71*HK71+HA72*HK72+HA73*HK73+HA74*HK74+HA75*HK75+HA76*HK76+HA77*HK77+HA78*HK78)/HK79</f>
        <v>0</v>
      </c>
      <c r="HB79" s="115">
        <f>SUM(HB65:HB78)</f>
        <v>0</v>
      </c>
      <c r="HC79" s="116">
        <f>(HC65*HK65+HC66*HK66+HC67*HK67+HC68*HK68+HC69*HK69+HC70*HK70+HC71*HK71+HC72*HK72+HC73*HK73+HC74*HK74+HC75*HK75+HC76*HK76+HC77*HK77+HC78*HK78)/HK79</f>
        <v>0.75568765812776728</v>
      </c>
      <c r="HD79" s="119">
        <f>(HD65*HK65+HD66*HK66+HD67*HK67+HD68*HK68+HD69*HK69+HD70*HK70+HD71*HK71+HD72*HK72+HD73*HK73+HD74*HK74+HD75*HK75+HD76*HK76+HD77*HK77+HD78*HK78)/HK79</f>
        <v>0.78087724673202619</v>
      </c>
      <c r="HE79" s="119">
        <f>(HE65*HK65+HE66*HK66+HE67*HK67+HE68*HK68+HE69*HK69+HE70*HK70+HE71*HK71+HE72*HK72+HE73*HK73+HE74*HK74+HE75*HK75+HE76*HK76+HE77*HK77+HE78*HK78)/HK79</f>
        <v>0.23040499316206026</v>
      </c>
      <c r="HF79" s="119">
        <f>(HF65*HK65+HF66*HK66+HF67*HK67+HF68*HK68+HF69*HK69+HF70*HK70+HF71*HK71+HF72*HK72+HF73*HK73+HF74*HK74+HF75*HK75+HF76*HK76+HF77*HK77+HF78*HK78)/HK79</f>
        <v>0</v>
      </c>
      <c r="HG79" s="119">
        <f>(HG65*HK65+HG66*HK66+HG67*HK67+HG68*HK68+HG69*HK69+HG70*HK70+HG71*HK71+HG72*HK72+HG73*HK73+HG74*HK74+HG75*HK75+HG76*HK76+HG77*HK77+HG78*HK78)/HK79</f>
        <v>0.65031760620915036</v>
      </c>
      <c r="HH79" s="115">
        <f>SUM(HH65:HH78)</f>
        <v>0</v>
      </c>
      <c r="HI79" s="128">
        <f>SUM(HI65:HI78)</f>
        <v>10080</v>
      </c>
      <c r="HJ79" s="124">
        <f>SUM(HJ65:HJ78)</f>
        <v>159197.75</v>
      </c>
      <c r="HK79" s="48">
        <f>SUM(HK65:HK78)</f>
        <v>340</v>
      </c>
      <c r="HN79" s="87" t="s">
        <v>39</v>
      </c>
      <c r="HO79" s="98">
        <f>SUM(HO65:HO78)</f>
        <v>8105.64</v>
      </c>
      <c r="HP79" s="98">
        <f>SUM(HP65:HP78)</f>
        <v>5931.6</v>
      </c>
      <c r="HQ79" s="47">
        <f>SUM(HQ65:HQ78)</f>
        <v>2174.0400000000054</v>
      </c>
      <c r="HR79" s="98">
        <f>SUM(HR65:HR78)</f>
        <v>2310.36</v>
      </c>
      <c r="HS79" s="78">
        <f>(HS65*IG65+HS66*IG66+HS67*IG67+HS68*IG68+HS69*IG69+HS70*IG70+HS71*IG71+HS72*IG72+HS73*IG73+HS74*IG74+HS75*IG75+HS76*IG76+HS77*IG77+HS78*IG78)/IG79</f>
        <v>0.2277364010120177</v>
      </c>
      <c r="HT79" s="25">
        <f>SUM(HT65:HT78)</f>
        <v>0</v>
      </c>
      <c r="HU79" s="78">
        <f>(HU65*IG65+HU66*IG66+HU67*IG67+HU68*IG68+HU69*IG69+HU70*IG70+HU71*IG71+HU72*IG72+HU73*IG73+HU74*IG74+HU75*IG75+HU76*IG76+HU77*IG77+HU78*IG78)/IG79</f>
        <v>0</v>
      </c>
      <c r="HV79" s="26">
        <f>SUM(HV65:HV78)</f>
        <v>0</v>
      </c>
      <c r="HW79" s="79">
        <f>(HW65*IG65+HW66*IG66+HW67*IG67+HW68*IG68+HW69*IG69+HW70*IG70+HW71*IG71+HW72*IG72+HW73*IG73+HW74*IG74+HW75*IG75+HW76*IG76+HW77*IG77+HW78*IG78)/IG79</f>
        <v>0</v>
      </c>
      <c r="HX79" s="25">
        <f>SUM(HX65:HX78)</f>
        <v>0</v>
      </c>
      <c r="HY79" s="78">
        <f>(HY65*IG65+HY66*IG66+HY67*IG67+HY68*IG68+HY69*IG69+HY70*IG70+HY71*IG71+HY72*IG72+HY73*IG73+HY74*IG74+HY75*IG75+HY76*IG76+HY77*IG77+HY78*IG78)/IG79</f>
        <v>0.77226359898798225</v>
      </c>
      <c r="HZ79" s="81">
        <f>(HZ65*IG65+HZ66*IG66+HZ67*IG67+HZ68*IG68+HZ69*IG69+HZ70*IG70+HZ71*IG71+HZ72*IG72+HZ73*IG73+HZ74*IG74+HZ75*IG75+HZ76*IG76+HZ77*IG77+HZ78*IG78)/IG79</f>
        <v>0.77226359898798225</v>
      </c>
      <c r="IA79" s="81">
        <f>(IA65*IG65+IA66*IG66+IA67*IG67+IA68*IG68+IA69*IG69+IA70*IG70+IA71*IG71+IA72*IG72+IA73*IG73+IA74*IG74+IA75*IG75+IA76*IG76+IA77*IG77+IA78*IG78)/IG79</f>
        <v>0.23029942745692744</v>
      </c>
      <c r="IB79" s="81">
        <f>(IB65*IG65+IB66*IG66+IB67*IG67+IB68*IG68+IB69*IG69+IB70*IG70+IB71*IG71+IB72*IG72+IB73*IG73+IB74*IG74+IB75*IG75+IB76*IG76+IB77*IG77+IB78*IG78)/IG79</f>
        <v>0</v>
      </c>
      <c r="IC79" s="81">
        <f>(IC65*IG65+IC66*IG66+IC67*IG67+IC68*IG68+IC69*IG69+IC70*IG70+IC71*IG71+IC72*IG72+IC73*IG73+IC74*IG74+IC75*IG75+IC76*IG76+IC77*IG77+IC78*IG78)/IG79</f>
        <v>0.57085614326375711</v>
      </c>
      <c r="ID79" s="25">
        <f>SUM(ID65:ID78)</f>
        <v>8</v>
      </c>
      <c r="IE79" s="47">
        <f>SUM(IE65:IE78)</f>
        <v>10416.000000000005</v>
      </c>
      <c r="IF79" s="88">
        <f>SUM(IF65:IF78)</f>
        <v>144403.76999999999</v>
      </c>
      <c r="IG79" s="29">
        <f>SUM(IG65:IG78)</f>
        <v>340</v>
      </c>
      <c r="IJ79" s="87" t="s">
        <v>84</v>
      </c>
      <c r="IK79" s="47">
        <f>SUM(IK65:IK78)</f>
        <v>8018.47</v>
      </c>
      <c r="IL79" s="47">
        <f>SUM(IL65:IL78)</f>
        <v>5605.23</v>
      </c>
      <c r="IM79" s="47">
        <f>SUM(IM65:IM78)</f>
        <v>2413.2399999999993</v>
      </c>
      <c r="IN79" s="47">
        <f>SUM(IN65:IN78)</f>
        <v>2061.5299999999997</v>
      </c>
      <c r="IO79" s="79">
        <f>(IO65*JC65+IO66*JC66+IO67*JC67+IO68*JC68+IO69*JC69+IO70*JC70+IO71*JC71+IO72*JC72+IO73*JC73+IO74*JC74+IO75*JC75+IO76*JC76+IO77*JC77+IO78*JC78)/JC79</f>
        <v>0.20198692810457514</v>
      </c>
      <c r="IP79" s="29">
        <f>SUM(IP65:IP78)</f>
        <v>0</v>
      </c>
      <c r="IQ79" s="79">
        <f>(IQ65*JC65+IQ66*JC66+IQ67*JC67+IQ68*JC68+IQ69*JC69+IQ70*JC70+IQ71*JC71+IQ72*JC72+IQ73*JC73+IQ74*JC74+IQ75*JC75+IQ76*JC76+IQ77*JC77+IQ78*JC78)/JC79</f>
        <v>0</v>
      </c>
      <c r="IR79" s="29">
        <f>SUM(IR65:IR78)</f>
        <v>0</v>
      </c>
      <c r="IS79" s="79">
        <f>(IS65*JC65+IS66*JC66+IS67*JC67+IS68*JC68+IS69*JC69+IS70*JC70+IS71*JC71+IS72*JC72+IS73*JC73+IS74*JC74+IS75*JC75+IS76*JC76+IS77*JC77+IS78*JC78)/JC79</f>
        <v>0</v>
      </c>
      <c r="IT79" s="29">
        <f>SUM(IT65:IT78)</f>
        <v>0</v>
      </c>
      <c r="IU79" s="79">
        <f>(IU65*JC65+IU66*JC66+IU67*JC67+IU68*JC68+IU69*JC69+IU70*JC70+IU71*JC71+IU72*JC72+IU73*JC73+IU74*JC74+IU75*JC75+IU76*JC76+IU77*JC77+IU78*JC78)/JC79</f>
        <v>0.79801307189542481</v>
      </c>
      <c r="IV79" s="80">
        <f>(IV65*JC65+IV66*JC66+IV67*JC67+IV68*JC68+IV69*JC69+IV70*JC70+IV71*JC71+IV72*JC72+IV73*JC73+IV74*JC74+IV75*JC75+IV76*JC76+IV77*JC77+IV78*JC78)/JC79</f>
        <v>0.79801307189542481</v>
      </c>
      <c r="IW79" s="80">
        <f>(IW65*JC65+IW66*JC66+IW67*JC67+IW68*JC68+IW69*JC69+IW70*JC70+IW71*JC71+IW72*JC72+IW73*JC73+IW74*JC74+IW75*JC75+IW76*JC76+IW77*JC77+IW78*JC78)/JC79</f>
        <v>0.2097230192756401</v>
      </c>
      <c r="IX79" s="80">
        <f>(IX65*JC65+IX66*JC66+IX67*JC67+IX68*JC68+IX69*JC69+IX70*JC70+IX71*JC71+IX72*JC72+IX73*JC73+IX74*JC74+IX75*JC75+IX76*JC76+IX77*JC77+IX78*JC78)/JC79</f>
        <v>0</v>
      </c>
      <c r="IY79" s="80">
        <f>(IY65*JC65+IY66*JC66+IY67*JC67+IY68*JC68+IY69*JC69+IY70*JC70+IY71*JC71+IY72*JC72+IY73*JC73+IY74*JC74+IY75*JC75+IY76*JC76+IY77*JC77+IY78*JC78)/JC79</f>
        <v>0.55519474264705893</v>
      </c>
      <c r="IZ79" s="29">
        <f>SUM(IZ65:IZ78)</f>
        <v>4</v>
      </c>
      <c r="JA79" s="33">
        <f>SUM(JA65:JA78)</f>
        <v>10080</v>
      </c>
      <c r="JB79" s="47">
        <f>SUM(JB65:JB78)</f>
        <v>135911.67299999998</v>
      </c>
      <c r="JC79" s="29">
        <f>SUM(JC65:JC78)</f>
        <v>340</v>
      </c>
    </row>
    <row r="80" spans="1:265" ht="15" x14ac:dyDescent="0.25">
      <c r="B80" s="105" t="s">
        <v>86</v>
      </c>
      <c r="G80" s="82">
        <f>(G33*$HK$33+G37*$HK$37+G40*$HK$40+G43*$HK$43+G46*$HK$46+G49*$HK$49+G52*$HK$52+G56*$HK$56+G59*$HK$59+G64*$HK$64+G79*$HK$79)/$HK$80</f>
        <v>0.14412664169932371</v>
      </c>
      <c r="H80" s="74"/>
      <c r="I80" s="82">
        <f>(I33*U33+I37*U37+I40*U40+I43*U43+I46*U46+I49*U49+I52*U52+I56*U56+I59*U59+I64*U64+I79*U79)/U80</f>
        <v>0.18221012464366843</v>
      </c>
      <c r="J80" s="74"/>
      <c r="K80" s="82">
        <f>(K33*$HK$33+K37*$HK$37+K40*$HK$40+K43*$HK$43+K46*$HK$46+K49*$HK$49+K52*$HK$52+K56*$HK$56+K59*$HK$59+K64*$HK$64+K79*$HK$79)/$HK$80</f>
        <v>3.0042856315515148E-3</v>
      </c>
      <c r="L80" s="74"/>
      <c r="M80" s="82">
        <f>(M33*$HK$33+M37*$HK$37+M40*$HK$40+M43*$HK$43+M46*$HK$46+M49*$HK$49+M52*$HK$52+M56*$HK$56+M59*$HK$59+M64*$HK$64+M79*$HK$79)/$HK$80</f>
        <v>0.67065894802545634</v>
      </c>
      <c r="N80" s="82">
        <f>(N33*$HK$33+N37*$HK$37+N40*$HK$40+N43*$HK$43+N46*$HK$46+N49*$HK$49+N52*$HK$52+N56*$HK$56+N59*$HK$59+N64*$HK$64+N79*$HK$79)/$HK$80</f>
        <v>0.67065894802545634</v>
      </c>
      <c r="O80" s="82">
        <f>(O33*$HK$33+O37*$HK$37+O40*$HK$40+O43*$HK$43+O46*$HK$46+O49*$HK$49+O52*$HK$52+O56*$HK$56+O59*$HK$59+O64*$HK$64+O79*$HK$79)/$HK$80</f>
        <v>0.18942011388514837</v>
      </c>
      <c r="P80" s="82">
        <f>(P33*$HK$33+P37*$HK$37+P40*$HK$40+P43*$HK$43+P46*$HK$46+P49*$HK$49+P52*$HK$52+P56*$HK$56+P59*$HK$59+P64*$HK$64+P79*$HK$79)/$HK$80</f>
        <v>0</v>
      </c>
      <c r="Q80" s="82">
        <f>(Q33*$HK$33+Q37*$HK$37+Q40*$HK$40+Q43*$HK$43+Q46*$HK$46+Q49*$HK$49+Q52*$HK$52+Q56*$HK$56+Q59*$HK$59+Q64*$HK$64+Q79*$HK$79)/$HK$80</f>
        <v>0.23267112201823648</v>
      </c>
      <c r="R80" s="83">
        <f>SUM(R33,R37,R40,R43,R46,R49,R52,R56,R59,R64,R79)</f>
        <v>7</v>
      </c>
      <c r="U80" s="8">
        <f>SUM(U79,U64,U59,U56,U52,U49,U46,U43,U40,U37,U33)</f>
        <v>1671</v>
      </c>
      <c r="X80" s="66" t="s">
        <v>86</v>
      </c>
      <c r="AC80" s="82">
        <f>(AC33*$HK$33+AC37*$HK$37+AC40*$HK$40+AC43*$HK$43+AC46*$HK$46+AC49*$HK$49+AC52*$HK$52+AC56*$HK$56+AC59*$HK$59+AC64*$HK$64+AC79*$HK$79)/$HK$80</f>
        <v>0.13885550793742718</v>
      </c>
      <c r="AD80" s="74"/>
      <c r="AE80" s="82">
        <f>(AE33*AQ33+AE37*AQ37+AE40*AQ40+AE43*AQ43+AE46*AQ46+AE49*AQ49+AE52*AQ52+AE56*AQ56+AE59*AQ59+AE64*AQ64+AE79*AQ79)/AQ80</f>
        <v>0.16475148484906985</v>
      </c>
      <c r="AF80" s="74"/>
      <c r="AG80" s="82">
        <f>(AG33*$HK$33+AG37*$HK$37+AG40*$HK$40+AG43*$HK$43+AG46*$HK$46+AG49*$HK$49+AG52*$HK$52+AG56*$HK$56+AG59*$HK$59+AG64*$HK$64+AG79*$HK$79)/$HK$80</f>
        <v>2.3703491888830974E-3</v>
      </c>
      <c r="AH80" s="74"/>
      <c r="AI80" s="82">
        <f>(AI33*$HK$33+AI37*$HK$37+AI40*$HK$40+AI43*$HK$43+AI46*$HK$46+AI49*$HK$49+AI52*$HK$52+AI56*$HK$56+AI59*$HK$59+AI64*$HK$64+AI79*$HK$79)/$HK$80</f>
        <v>0.69461989552968739</v>
      </c>
      <c r="AJ80" s="82">
        <f>(AJ33*$HK$33+AJ37*$HK$37+AJ40*$HK$40+AJ43*$HK$43+AJ46*$HK$46+AJ49*$HK$49+AJ52*$HK$52+AJ56*$HK$56+AJ59*$HK$59+AJ64*$HK$64+AJ79*$HK$79)/$HK$80</f>
        <v>0.69461989552968739</v>
      </c>
      <c r="AK80" s="82">
        <f>(AK33*$HK$33+AK37*$HK$37+AK40*$HK$40+AK43*$HK$43+AK46*$HK$46+AK49*$HK$49+AK52*$HK$52+AK56*$HK$56+AK59*$HK$59+AK64*$HK$64+AK79*$HK$79)/$HK$80</f>
        <v>0.15520482056302332</v>
      </c>
      <c r="AL80" s="82">
        <f>(AL33*$HK$33+AL37*$HK$37+AL40*$HK$40+AL43*$HK$43+AL46*$HK$46+AL49*$HK$49+AL52*$HK$52+AL56*$HK$56+AL59*$HK$59+AL64*$HK$64+AL79*$HK$79)/$HK$80</f>
        <v>0</v>
      </c>
      <c r="AM80" s="82">
        <f>(AM33*$HK$33+AM37*$HK$37+AM40*$HK$40+AM43*$HK$43+AM46*$HK$46+AM49*$HK$49+AM52*$HK$52+AM56*$HK$56+AM59*$HK$59+AM64*$HK$64+AM79*$HK$79)/$HK$80</f>
        <v>0.33353356032380332</v>
      </c>
      <c r="AN80" s="83">
        <f>SUM(AN33,AN37,AN40,AN43,AN46,AN49,AN52,AN56,AN59,AN64,AN79)</f>
        <v>12</v>
      </c>
      <c r="AQ80" s="8">
        <f>SUM(AQ79,AQ64,AQ59,AQ56,AQ52,AQ49,AQ46,AQ43,AQ40,AQ37,AQ33)</f>
        <v>1671</v>
      </c>
      <c r="AT80" s="66" t="s">
        <v>86</v>
      </c>
      <c r="AY80" s="82">
        <f>(AY33*$HK$33+AY37*$HK$37+AY40*$HK$40+AY43*$HK$43+AY46*$HK$46+AY49*$HK$49+AY52*$HK$52+AY56*$HK$56+AY59*$HK$59+AY64*$HK$64+AY79*$HK$79)/$HK$80</f>
        <v>0.15529947137442648</v>
      </c>
      <c r="AZ80" s="74"/>
      <c r="BA80" s="82">
        <f>(BA33*BM33+BA37*BM37+BA40*BM40+BA43*BM43+BA46*BM46+BA49*BM49+BA52*BM52+BA56*BM56+BA59*BM59+BA64*BM64+BA79*BM79)/BM80</f>
        <v>0.15978456014362658</v>
      </c>
      <c r="BB80" s="74"/>
      <c r="BC80" s="82">
        <f>(BC33*$HK$33+BC37*$HK$37+BC40*$HK$40+BC43*$HK$43+BC46*$HK$46+BC49*$HK$49+BC52*$HK$52+BC56*$HK$56+BC59*$HK$59+BC64*$HK$64+BC79*$HK$79)/$HK$80</f>
        <v>6.3584679832435662E-4</v>
      </c>
      <c r="BD80" s="74"/>
      <c r="BE80" s="82">
        <f>(BE33*$HK$33+BE37*$HK$37+BE40*$HK$40+BE43*$HK$43+BE46*$HK$46+BE49*$HK$49+BE52*$HK$52+BE56*$HK$56+BE59*$HK$59+BE64*$HK$64+BE79*$HK$79)/$HK$80</f>
        <v>0.68428355026929977</v>
      </c>
      <c r="BF80" s="82">
        <f>(BF33*$HK$33+BF37*$HK$37+BF40*$HK$40+BF43*$HK$43+BF46*$HK$46+BF49*$HK$49+BF52*$HK$52+BF56*$HK$56+BF59*$HK$59+BF64*$HK$64+BF79*$HK$79)/$HK$80</f>
        <v>0.68428355026929977</v>
      </c>
      <c r="BG80" s="82">
        <f>(BG33*$HK$33+BG37*$HK$37+BG40*$HK$40+BG43*$HK$43+BG46*$HK$46+BG49*$HK$49+BG52*$HK$52+BG56*$HK$56+BG59*$HK$59+BG64*$HK$64+BG79*$HK$79)/$HK$80</f>
        <v>0.17324352396321824</v>
      </c>
      <c r="BH80" s="82">
        <f>(BH33*$HK$33+BH37*$HK$37+BH40*$HK$40+BH43*$HK$43+BH46*$HK$46+BH49*$HK$49+BH52*$HK$52+BH56*$HK$56+BH59*$HK$59+BH64*$HK$64+BH79*$HK$79)/$HK$80</f>
        <v>0</v>
      </c>
      <c r="BI80" s="82">
        <f>(BI33*$HK$33+BI37*$HK$37+BI40*$HK$40+BI43*$HK$43+BI46*$HK$46+BI49*$HK$49+BI52*$HK$52+BI56*$HK$56+BI59*$HK$59+BI64*$HK$64+BI79*$HK$79)/$HK$80</f>
        <v>0.35776171786687949</v>
      </c>
      <c r="BJ80" s="82"/>
      <c r="BM80" s="8">
        <f>SUM(BM79,BM64,BM59,BM56,BM52,BM49,BM46,BM43,BM40,BM37,BM33)</f>
        <v>1671</v>
      </c>
      <c r="BP80" s="66" t="s">
        <v>86</v>
      </c>
      <c r="BU80" s="82">
        <f>(BU33*$HK$33+BU37*$HK$37+BU40*$HK$40+BU43*$HK$43+BU46*$HK$46+BU49*$HK$49+BU52*$HK$52+BU56*$HK$56+BU59*$HK$59+BU64*$HK$64+BU79*$HK$79)/$HK$80</f>
        <v>0.1058185411478543</v>
      </c>
      <c r="BV80" s="74"/>
      <c r="BW80" s="82">
        <f>(BW33*CI33+BW37*CI37+BW40*CI40+BW43*CI43+BW46*CI46+BW49*CI49+BW52*CI52+BW56*CI56+BW59*CI59+BW64*CI64+BW79*CI79)/CI80</f>
        <v>0.16249927607575146</v>
      </c>
      <c r="BX80" s="74"/>
      <c r="BY80" s="82">
        <f>(BY33*$HK$33+BY37*$HK$37+BY40*$HK$40+BY43*$HK$43+BY46*$HK$46+BY49*$HK$49+BY52*$HK$52+BY56*$HK$56+BY59*$HK$59+BY64*$HK$64+BY79*$HK$79)/$HK$80</f>
        <v>1.5047972046871682E-3</v>
      </c>
      <c r="BZ80" s="74"/>
      <c r="CA80" s="82">
        <f>(CA33*$HK$33+CA37*$HK$37+CA40*$HK$40+CA43*$HK$43+CA46*$HK$46+CA49*$HK$49+CA52*$HK$52+CA56*$HK$56+CA59*$HK$59+CA64*$HK$64+CA79*$HK$79)/$HK$80</f>
        <v>0.73018402154398565</v>
      </c>
      <c r="CB80" s="82">
        <f>(CB33*$HK$33+CB37*$HK$37+CB40*$HK$40+CB43*$HK$43+CB46*$HK$46+CB49*$HK$49+CB52*$HK$52+CB56*$HK$56+CB59*$HK$59+CB64*$HK$64+CB79*$HK$79)/$HK$80</f>
        <v>0.73018402154398565</v>
      </c>
      <c r="CC80" s="82">
        <f>(CC33*$HK$33+CC37*$HK$37+CC40*$HK$40+CC43*$HK$43+CC46*$HK$46+CC49*$HK$49+CC52*$HK$52+CC56*$HK$56+CC59*$HK$59+CC64*$HK$64+CC79*$HK$79)/$HK$80</f>
        <v>0.13283409041861485</v>
      </c>
      <c r="CD80" s="82">
        <f>(CD33*$HK$33+CD37*$HK$37+CD40*$HK$40+CD43*$HK$43+CD46*$HK$46+CD49*$HK$49+CD52*$HK$52+CD56*$HK$56+CD59*$HK$59+CD64*$HK$64+CD79*$HK$79)/$HK$80</f>
        <v>0</v>
      </c>
      <c r="CE80" s="82">
        <f>(CE33*$HK$33+CE37*$HK$37+CE40*$HK$40+CE43*$HK$43+CE46*$HK$46+CE49*$HK$49+CE52*$HK$52+CE56*$HK$56+CE59*$HK$59+CE64*$HK$64+CE79*$HK$79)/$HK$80</f>
        <v>0.34754312014568567</v>
      </c>
      <c r="CF80" s="82"/>
      <c r="CI80" s="8">
        <f>SUM(CI79,CI64,CI59,CI56,CI52,CI49,CI46,CI43,CI40,CI37,CI33)</f>
        <v>1671</v>
      </c>
      <c r="CL80" s="66" t="s">
        <v>86</v>
      </c>
      <c r="CQ80" s="82">
        <f>(CQ33*$HK$33+CQ37*$HK$37+CQ40*$HK$40+CQ43*$HK$43+CQ46*$HK$46+CQ49*$HK$49+CQ52*$HK$52+CQ56*$HK$56+CQ59*$HK$59+CQ64*$HK$64+CQ79*$HK$79)/$HK$80</f>
        <v>0.13131456130726776</v>
      </c>
      <c r="CR80" s="74"/>
      <c r="CS80" s="82">
        <f>(CS33*DE33+CS37*DE37+CS40*DE40+CS43*DE43+CS46*DE46+CS49*DE49+CS52*DE52+CS56*DE56+CS59*DE59+CS64*DE64+CS79*DE79)/DE80</f>
        <v>0.18471839882970945</v>
      </c>
      <c r="CT80" s="74"/>
      <c r="CU80" s="82">
        <f>(CU33*$HK$33+CU37*$HK$37+CU40*$HK$40+CU43*$HK$43+CU46*$HK$46+CU49*$HK$49+CU52*$HK$52+CU56*$HK$56+CU59*$HK$59+CU64*$HK$64+CU79*$HK$79)/$HK$80</f>
        <v>4.4669276547642791E-3</v>
      </c>
      <c r="CV80" s="74"/>
      <c r="CW80" s="82">
        <f>(CW33*$HK$33+CW37*$HK$37+CW40*$HK$40+CW43*$HK$43+CW46*$HK$46+CW49*$HK$49+CW52*$HK$52+CW56*$HK$56+CW59*$HK$59+CW64*$HK$64+CW79*$HK$79)/$HK$80</f>
        <v>0.67950354079393571</v>
      </c>
      <c r="CX80" s="82">
        <f>(CX33*$HK$33+CX37*$HK$37+CX40*$HK$40+CX43*$HK$43+CX46*$HK$46+CX49*$HK$49+CX52*$HK$52+CX56*$HK$56+CX59*$HK$59+CX64*$HK$64+CX79*$HK$79)/$HK$80</f>
        <v>0.67950354079393571</v>
      </c>
      <c r="CY80" s="82">
        <f>(CY33*$HK$33+CY37*$HK$37+CY40*$HK$40+CY43*$HK$43+CY46*$HK$46+CY49*$HK$49+CY52*$HK$52+CY56*$HK$56+CY59*$HK$59+CY64*$HK$64+CY79*$HK$79)/$HK$80</f>
        <v>0.19557637229961983</v>
      </c>
      <c r="CZ80" s="82">
        <f>(CZ33*$HK$33+CZ37*$HK$37+CZ40*$HK$40+CZ43*$HK$43+CZ46*$HK$46+CZ49*$HK$49+CZ52*$HK$52+CZ56*$HK$56+CZ59*$HK$59+CZ64*$HK$64+CZ79*$HK$79)/$HK$80</f>
        <v>0</v>
      </c>
      <c r="DA80" s="82">
        <f>(DA33*$HK$33+DA37*$HK$37+DA40*$HK$40+DA43*$HK$43+DA46*$HK$46+DA49*$HK$49+DA52*$HK$52+DA56*$HK$56+DA59*$HK$59+DA64*$HK$64+DA79*$HK$79)/$HK$80</f>
        <v>0.23013375473768202</v>
      </c>
      <c r="DB80" s="82"/>
      <c r="DE80" s="8">
        <f>SUM(DE79,DE64,DE59,DE56,DE52,DE49,DE46,DE43,DE40,DE37,DE33)</f>
        <v>1671</v>
      </c>
      <c r="DH80" s="66" t="s">
        <v>86</v>
      </c>
      <c r="DM80" s="82">
        <f>(DM33*$HK$33+DM37*$HK$37+DM40*$HK$40+DM43*$HK$43+DM46*$HK$46+DM49*$HK$49+DM52*$HK$52+DM56*$HK$56+DM59*$HK$59+DM64*$HK$64+DM79*$HK$79)/$HK$80</f>
        <v>0.15796509719889579</v>
      </c>
      <c r="DN80" s="74"/>
      <c r="DO80" s="82">
        <f>(DO33*EA33+DO37*EA37+DO40*EA40+DO43*EA43+DO46*EA46+DO49*EA49+DO52*EA52+DO56*EA56+DO59*EA59+DO64*EA64+DO79*EA79)/EA80</f>
        <v>0.15466722006653669</v>
      </c>
      <c r="DP80" s="74"/>
      <c r="DQ80" s="82">
        <f>(DQ33*$HK$33+DQ37*$HK$37+DQ40*$HK$40+DQ43*$HK$43+DQ46*$HK$46+DQ49*$HK$49+DQ52*$HK$52+DQ56*$HK$56+DQ59*$HK$59+DQ64*$HK$64+DQ79*$HK$79)/$HK$80</f>
        <v>1.1915712695379112E-2</v>
      </c>
      <c r="DR80" s="74"/>
      <c r="DS80" s="82">
        <f>(DS33*$HK$33+DS37*$HK$37+DS40*$HK$40+DS43*$HK$43+DS46*$HK$46+DS49*$HK$49+DS52*$HK$52+DS56*$HK$56+DS59*$HK$59+DS64*$HK$64+DS79*$HK$79)/$HK$80</f>
        <v>0.67545860601146679</v>
      </c>
      <c r="DT80" s="82">
        <f>(DT33*$HK$33+DT37*$HK$37+DT40*$HK$40+DT43*$HK$43+DT46*$HK$46+DT49*$HK$49+DT52*$HK$52+DT56*$HK$56+DT59*$HK$59+DT64*$HK$64+DT79*$HK$79)/$HK$80</f>
        <v>0.67545860601146679</v>
      </c>
      <c r="DU80" s="82">
        <f>(DU33*$HK$33+DU37*$HK$37+DU40*$HK$40+DU43*$HK$43+DU46*$HK$46+DU49*$HK$49+DU52*$HK$52+DU56*$HK$56+DU59*$HK$59+DU64*$HK$64+DU79*$HK$79)/$HK$80</f>
        <v>0.20452904138677283</v>
      </c>
      <c r="DV80" s="82">
        <f>(DV33*$HK$33+DV37*$HK$37+DV40*$HK$40+DV43*$HK$43+DV46*$HK$46+DV49*$HK$49+DV52*$HK$52+DV56*$HK$56+DV59*$HK$59+DV64*$HK$64+DV79*$HK$79)/$HK$80</f>
        <v>0</v>
      </c>
      <c r="DW80" s="82">
        <f>(DW33*$HK$33+DW37*$HK$37+DW40*$HK$40+DW43*$HK$43+DW46*$HK$46+DW49*$HK$49+DW52*$HK$52+DW56*$HK$56+DW59*$HK$59+DW64*$HK$64+DW79*$HK$79)/$HK$80</f>
        <v>0.27022666309530702</v>
      </c>
      <c r="DX80" s="82"/>
      <c r="EA80" s="8">
        <f>SUM(EA79,EA64,EA59,EA56,EA52,EA49,EA46,EA43,EA40,EA37,EA33)</f>
        <v>1671</v>
      </c>
      <c r="ED80" s="66" t="s">
        <v>86</v>
      </c>
      <c r="EI80" s="82">
        <f>(EI33*$HK$33+EI37*$HK$37+EI40*$HK$40+EI43*$HK$43+EI46*$HK$46+EI49*$HK$49+EI52*$HK$52+EI56*$HK$56+EI59*$HK$59+EI64*$HK$64+EI79*$HK$79)/$HK$80</f>
        <v>0.31078128317986142</v>
      </c>
      <c r="EJ80" s="74"/>
      <c r="EK80" s="82">
        <f>(EK33*EW33+EK37*EW37+EK40*EW40+EK43*EW43+EK46*EW46+EK49*EW49+EK52*EW52+EK56*EW56+EK59*EW59+EK64*EW64+EK79*EW79)/EW80</f>
        <v>0.13695025996924126</v>
      </c>
      <c r="EL80" s="74"/>
      <c r="EM80" s="82">
        <f>(EM33*$HK$33+EM37*$HK$37+EM40*$HK$40+EM43*$HK$43+EM46*$HK$46+EM49*$HK$49+EM52*$HK$52+EM56*$HK$56+EM59*$HK$59+EM64*$HK$64+EM79*$HK$79)/$HK$80</f>
        <v>0</v>
      </c>
      <c r="EN80" s="74"/>
      <c r="EO80" s="82">
        <f>(EO33*$HK$33+EO37*$HK$37+EO40*$HK$40+EO43*$HK$43+EO46*$HK$46+EO49*$HK$49+EO52*$HK$52+EO56*$HK$56+EO59*$HK$59+EO64*$HK$64+EO79*$HK$79)/$HK$80</f>
        <v>0.55226845685089732</v>
      </c>
      <c r="EP80" s="82">
        <f>(EP33*$HK$33+EP37*$HK$37+EP40*$HK$40+EP43*$HK$43+EP46*$HK$46+EP49*$HK$49+EP52*$HK$52+EP56*$HK$56+EP59*$HK$59+EP64*$HK$64+EP79*$HK$79)/$HK$80</f>
        <v>0.55226845685089732</v>
      </c>
      <c r="EQ80" s="82">
        <f>(EQ33*$HK$33+EQ37*$HK$37+EQ40*$HK$40+EQ43*$HK$43+EQ46*$HK$46+EQ49*$HK$49+EQ52*$HK$52+EQ56*$HK$56+EQ59*$HK$59+EQ64*$HK$64+EQ79*$HK$79)/$HK$80</f>
        <v>0.35349454008137526</v>
      </c>
      <c r="ER80" s="82">
        <f>(ER33*$HK$33+ER37*$HK$37+ER40*$HK$40+ER43*$HK$43+ER46*$HK$46+ER49*$HK$49+ER52*$HK$52+ER56*$HK$56+ER59*$HK$59+ER64*$HK$64+ER79*$HK$79)/$HK$80</f>
        <v>0</v>
      </c>
      <c r="ES80" s="82">
        <f>(ES33*$HK$33+ES37*$HK$37+ES40*$HK$40+ES43*$HK$43+ES46*$HK$46+ES49*$HK$49+ES52*$HK$52+ES56*$HK$56+ES59*$HK$59+ES64*$HK$64+ES79*$HK$79)/$HK$80</f>
        <v>7.5604369011537749</v>
      </c>
      <c r="ET80" s="82"/>
      <c r="EW80" s="8">
        <f>SUM(EW79,EW64,EW59,EW56,EW52,EW49,EW46,EW43,EW40,EW37,EW33)</f>
        <v>1671</v>
      </c>
      <c r="EZ80" s="66" t="s">
        <v>86</v>
      </c>
      <c r="FE80" s="82">
        <f>(FE33*$HK$33+FE37*$HK$37+FE40*$HK$40+FE43*$HK$43+FE46*$HK$46+FE49*$HK$49+FE52*$HK$52+FE56*$HK$56+FE59*$HK$59+FE64*$HK$64+FE79*$HK$79)/$HK$80</f>
        <v>0.31434003733150956</v>
      </c>
      <c r="FF80" s="74"/>
      <c r="FG80" s="82">
        <f>(FG33*FS33+FG37*FS37+FG40*FS40+FG43*FS43+FG46*FS46+FG49*FS49+FG52*FS52+FG56*FS56+FG59*FS59+FG64*FS64+FG79*FS79)/FS80</f>
        <v>0.13117590692770226</v>
      </c>
      <c r="FH80" s="74"/>
      <c r="FI80" s="82">
        <f>(FI33*$HK$33+FI37*$HK$37+FI40*$HK$40+FI43*$HK$43+FI46*$HK$46+FI49*$HK$49+FI52*$HK$52+FI56*$HK$56+FI59*$HK$59+FI64*$HK$64+FI79*$HK$79)/$HK$80</f>
        <v>5.3779815337265966E-4</v>
      </c>
      <c r="FJ80" s="74"/>
      <c r="FK80" s="82">
        <f>(FK33*$HK$33+FK37*$HK$37+FK40*$HK$40+FK43*$HK$43+FK46*$HK$46+FK49*$HK$49+FK52*$HK$52+FK56*$HK$56+FK59*$HK$59+FK64*$HK$64+FK79*$HK$79)/$HK$80</f>
        <v>0.50034519121252474</v>
      </c>
      <c r="FL80" s="82">
        <f>(FL33*$HK$33+FL37*$HK$37+FL40*$HK$40+FL43*$HK$43+FL46*$HK$46+FL49*$HK$49+FL52*$HK$52+FL56*$HK$56+FL59*$HK$59+FL64*$HK$64+FL79*$HK$79)/$HK$80</f>
        <v>0.55395360455672382</v>
      </c>
      <c r="FM80" s="82">
        <f>(FM33*$HK$33+FM37*$HK$37+FM40*$HK$40+FM43*$HK$43+FM46*$HK$46+FM49*$HK$49+FM52*$HK$52+FM56*$HK$56+FM59*$HK$59+FM64*$HK$64+FM79*$HK$79)/$HK$80</f>
        <v>0.3503242755781999</v>
      </c>
      <c r="FN80" s="82">
        <f>(FN33*$HK$33+FN37*$HK$37+FN40*$HK$40+FN43*$HK$43+FN46*$HK$46+FN49*$HK$49+FN52*$HK$52+FN56*$HK$56+FN59*$HK$59+FN64*$HK$64+FN79*$HK$79)/$HK$80</f>
        <v>0</v>
      </c>
      <c r="FO80" s="82">
        <f>(FO33*$HK$33+FO37*$HK$37+FO40*$HK$40+FO43*$HK$43+FO46*$HK$46+FO49*$HK$49+FO52*$HK$52+FO56*$HK$56+FO59*$HK$59+FO64*$HK$64+FO79*$HK$79)/$HK$80</f>
        <v>0.16290422490809611</v>
      </c>
      <c r="FP80" s="82"/>
      <c r="FS80" s="8">
        <f>SUM(FS79,FS64,FS59,FS56,FS52,FS49,FS46,FS43,FS40,FS37,FS33)</f>
        <v>1671</v>
      </c>
      <c r="FV80" s="66" t="s">
        <v>86</v>
      </c>
      <c r="GA80" s="82">
        <f>(GA33*$HK$33+GA37*$HK$37+GA40*$HK$40+GA43*$HK$43+GA46*$HK$46+GA49*$HK$49+GA52*$HK$52+GA56*$HK$56+GA59*$HK$59+GA64*$HK$64+GA79*$HK$79)/$HK$80</f>
        <v>0.34193656975734055</v>
      </c>
      <c r="GB80" s="74"/>
      <c r="GC80" s="82">
        <f>(GC33*GO33+GC37*GO37+GC40*GO40+GC43*GO43+GC46*GO46+GC49*GO49+GC52*GO52+GC56*GO56+GC59*GO59+GC64*GO64+GC79*GO79)/GO80</f>
        <v>0.1298623578695392</v>
      </c>
      <c r="GD80" s="74"/>
      <c r="GE80" s="82">
        <f>(GE33*$HK$33+GE37*$HK$37+GE40*$HK$40+GE43*$HK$43+GE46*$HK$46+GE49*$HK$49+GE52*$HK$52+GE56*$HK$56+GE59*$HK$59+GE64*$HK$64+GE79*$HK$79)/$HK$80</f>
        <v>0</v>
      </c>
      <c r="GF80" s="74"/>
      <c r="GG80" s="82">
        <f>(GG33*$HK$33+GG37*$HK$37+GG40*$HK$40+GG43*$HK$43+GG46*$HK$46+GG49*$HK$49+GG52*$HK$52+GG56*$HK$56+GG59*$HK$59+GG64*$HK$64+GG79*$HK$79)/$HK$80</f>
        <v>0.5282010723731202</v>
      </c>
      <c r="GH80" s="82">
        <f>(GH33*$HK$33+GH37*$HK$37+GH40*$HK$40+GH43*$HK$43+GH46*$HK$46+GH49*$HK$49+GH52*$HK$52+GH56*$HK$56+GH59*$HK$59+GH64*$HK$64+GH79*$HK$79)/$HK$80</f>
        <v>0.5282010723731202</v>
      </c>
      <c r="GI80" s="82">
        <f>(GI33*$HK$33+GI37*$HK$37+GI40*$HK$40+GI43*$HK$43+GI46*$HK$46+GI49*$HK$49+GI52*$HK$52+GI56*$HK$56+GI59*$HK$59+GI64*$HK$64+GI79*$HK$79)/$HK$80</f>
        <v>0.37297950754631687</v>
      </c>
      <c r="GJ80" s="82">
        <f>(GJ33*$HK$33+GJ37*$HK$37+GJ40*$HK$40+GJ43*$HK$43+GJ46*$HK$46+GJ49*$HK$49+GJ52*$HK$52+GJ56*$HK$56+GJ59*$HK$59+GJ64*$HK$64+GJ79*$HK$79)/$HK$80</f>
        <v>0</v>
      </c>
      <c r="GK80" s="82">
        <f>(GK33*$HK$33+GK37*$HK$37+GK40*$HK$40+GK43*$HK$43+GK46*$HK$46+GK49*$HK$49+GK52*$HK$52+GK56*$HK$56+GK59*$HK$59+GK64*$HK$64+GK79*$HK$79)/$HK$80</f>
        <v>0.24304940219944274</v>
      </c>
      <c r="GL80" s="82"/>
      <c r="GO80" s="8">
        <f>SUM(GO79,GO64,GO59,GO56,GO52,GO49,GO46,GO43,GO40,GO37,GO33)</f>
        <v>1671</v>
      </c>
      <c r="GR80" s="66" t="s">
        <v>86</v>
      </c>
      <c r="GS80" s="74"/>
      <c r="GT80" s="74"/>
      <c r="GU80" s="74"/>
      <c r="GV80" s="74"/>
      <c r="GW80" s="82">
        <f>(GW33*$HK$33+GW37*$HK$37+GW40*$HK$40+GW43*$HK$43+GW46*$HK$46+GW49*$HK$49+GW52*$HK$52+GW56*$HK$56+GW59*$HK$59+GW64*$HK$64+GW79*$HK$79)/$HK$80</f>
        <v>0.34135934071414326</v>
      </c>
      <c r="GX80" s="74"/>
      <c r="GY80" s="82">
        <f>(GY33*HK33+GY37*HK37+GY40*HK40+GY43*HK43+GY46*HK46+GY49*HK49+GY52*HK52+GY56*HK56+GY59*HK59+GY64*HK64+GY79*HK79)/HK80</f>
        <v>0.1298623578695392</v>
      </c>
      <c r="GZ80" s="74"/>
      <c r="HA80" s="82">
        <f>(HA33*$HK$33+HA37*$HK$37+HA40*$HK$40+HA43*$HK$43+HA46*$HK$46+HA49*$HK$49+HA52*$HK$52+HA56*$HK$56+HA59*$HK$59+HA64*$HK$64+HA79*$HK$79)/$HK$80</f>
        <v>1.4605774985038901E-3</v>
      </c>
      <c r="HB80" s="74"/>
      <c r="HC80" s="82">
        <f>(HC33*$HK$33+HC37*$HK$37+HC40*$HK$40+HC43*$HK$43+HC46*$HK$46+HC49*$HK$49+HC52*$HK$52+HC56*$HK$56+HC59*$HK$59+HC64*$HK$64+HC79*$HK$79)/$HK$80</f>
        <v>0.5103074747591746</v>
      </c>
      <c r="HD80" s="82">
        <f>(HD33*$HK$33+HD37*$HK$37+HD40*$HK$40+HD43*$HK$43+HD46*$HK$46+HD49*$HK$49+HD52*$HK$52+HD56*$HK$56+HD59*$HK$59+HD64*$HK$64+HD79*$HK$79)/$HK$80</f>
        <v>0.52731772391781373</v>
      </c>
      <c r="HE80" s="82">
        <f>(HE33*$HK$33+HE37*$HK$37+HE40*$HK$40+HE43*$HK$43+HE46*$HK$46+HE49*$HK$49+HE52*$HK$52+HE56*$HK$56+HE59*$HK$59+HE64*$HK$64+HE79*$HK$79)/$HK$80</f>
        <v>0.3662649821025179</v>
      </c>
      <c r="HF80" s="82">
        <f>(HF33*$HK$33+HF37*$HK$37+HF40*$HK$40+HF43*$HK$43+HF46*$HK$46+HF49*$HK$49+HF52*$HK$52+HF56*$HK$56+HF59*$HK$59+HF64*$HK$64+HF79*$HK$79)/$HK$80</f>
        <v>0</v>
      </c>
      <c r="HG80" s="82">
        <f>(HG33*$HK$33+HG37*$HK$37+HG40*$HK$40+HG43*$HK$43+HG46*$HK$46+HG49*$HK$49+HG52*$HK$52+HG56*$HK$56+HG59*$HK$59+HG64*$HK$64+HG79*$HK$79)/$HK$80</f>
        <v>0.28970640002659753</v>
      </c>
      <c r="HH80" s="83">
        <f>SUM(HH33,HH37,HH40,HH43,HH46,HH49,HH52,HH56,HH59,HH64,HH79)</f>
        <v>1</v>
      </c>
      <c r="HI80" s="74"/>
      <c r="HJ80" s="74"/>
      <c r="HK80" s="74">
        <f>SUM(HK79,HK64,HK59,HK56,HK52,HK49,HK46,HK43,HK40,HK37,HK33)</f>
        <v>1671</v>
      </c>
      <c r="HN80" s="66" t="s">
        <v>86</v>
      </c>
      <c r="HO80" s="74"/>
      <c r="HP80" s="74"/>
      <c r="HQ80" s="74"/>
      <c r="HR80" s="74"/>
      <c r="HS80" s="82">
        <f>(HS33*IG33+HS37*IG37+HS40*IG40+HS43*IG43+HS46*IG46+HS49*IG49+HS52*IG52+HS56*IG56+HS59*IG59+HS64*IG64+HS79*IG79)/IG80</f>
        <v>0.31682580934730992</v>
      </c>
      <c r="HT80" s="74"/>
      <c r="HU80" s="82">
        <f>(HU33*$IG$33+HU37*$IG$37+HU40*$IG$40+HU43*$IG$43+HU46*$IG$46+HU49*$IG$49+HU52*$IG$52+HU56*$IG$56+HU59*$IG$59+HU64*$IG$64+HU79*$IG$79)/$IG$80</f>
        <v>0.14433762539976705</v>
      </c>
      <c r="HV80" s="74"/>
      <c r="HW80" s="82">
        <f>(HW33*$IG$33+HW37*$IG$37+HW40*$IG$40+HW43*$IG$43+HW46*$IG$46+HW49*$IG$49+HW52*$IG$52+HW56*$IG$56+HW59*$IG$59+HW64*$IG$64+HW79*$IG$79)/$IG$80</f>
        <v>2.4452552396028397E-3</v>
      </c>
      <c r="HX80" s="74"/>
      <c r="HY80" s="74"/>
      <c r="HZ80" s="82">
        <f>(HZ33*$IG$33+HZ37*$IG$37+HZ40*$IG$40+HZ43*$IG$43+HZ46*$IG$46+HZ49*$IG$49+HZ52*$IG$52+HZ56*$IG$56+HZ59*$IG$59+HZ64*$IG$64+HZ79*$IG$79)/$IG$80</f>
        <v>0.53639131001332019</v>
      </c>
      <c r="IA80" s="74"/>
      <c r="IB80" s="82">
        <f>(IB33*$IG$33+IB37*$IG$37+IB40*$IG$40+IB43*$IG$43+IB46*$IG$46+IB49*$IG$49+IB52*$IG$52+IB56*$IG$56+IB59*$IG$59+IB64*$IG$64+IB79*$IG$79)/$IG$80</f>
        <v>0</v>
      </c>
      <c r="IC80" s="82">
        <f>(IC33*$IG$33+IC37*$IG$37+IC40*$IG$40+IC43*$IG$43+IC46*$IG$46+IC49*$IG$49+IC52*$IG$52+IC56*$IG$56+IC59*$IG$59+IC64*$IG$64+IC79*$IG$79)/$IG$80</f>
        <v>0.19050297452430134</v>
      </c>
      <c r="ID80" s="83">
        <f>SUM(ID33,ID37,ID40,ID43,ID46,ID49,ID52,ID56,ID59,ID64,ID79)</f>
        <v>10</v>
      </c>
      <c r="IE80" s="74"/>
      <c r="IF80" s="74"/>
      <c r="IG80" s="74">
        <f>SUM(IG79,IG64,IG59,IG56,IG52,IG49,IG46,IG43,IG40,IG37,IG33)</f>
        <v>1671</v>
      </c>
      <c r="IJ80" s="66" t="s">
        <v>86</v>
      </c>
      <c r="IK80" s="74"/>
      <c r="IL80" s="74"/>
      <c r="IM80" s="74"/>
      <c r="IN80" s="74"/>
      <c r="IO80" s="82">
        <f>(IO33*JC33+IO37*JC37+IO40*JC40+IO43*JC43+IO46*JC46+IO49*JC49+IO52*JC52+IO56*JC56+IO59*JC59+IO64*JC64+IO79*JC79)/JC80</f>
        <v>0.30271826584214379</v>
      </c>
      <c r="IP80" s="74"/>
      <c r="IQ80" s="82">
        <f>(IQ33*$JC$33+IQ37*$JC$37+IQ40*$JC$40+IQ43*$JC$43+IQ46*$JC$46+IQ49*$JC$49+IQ52*$JC$52+IQ56*$JC$56+IQ59*$JC$59+IQ64*$JC$64+IQ79*$JC$79)/$JC$80</f>
        <v>0.1298623578695392</v>
      </c>
      <c r="IR80" s="74"/>
      <c r="IS80" s="82">
        <f>(IS33*$JC$33+IS37*$JC$37+IS40*$JC$40+IS43*$JC$43+IS46*$JC$46+IS49*$JC$49+IS52*$JC$52+IS56*$JC$56+IS59*$JC$59+IS64*$JC$64+IS79*$JC$79)/$JC$80</f>
        <v>9.2436747789081727E-3</v>
      </c>
      <c r="IT80" s="74"/>
      <c r="IU80" s="74"/>
      <c r="IV80" s="82">
        <f>(IV33*$JC$33+IV37*$JC$37+IV40*$JC$40+IV43*$JC$43+IV46*$JC$46+IV49*$JC$49+IV52*$JC$52+IV56*$JC$56+IV59*$JC$59+IV64*$JC$64+IV79*$JC$79)/$JC$80</f>
        <v>0.55817570150940887</v>
      </c>
      <c r="IW80" s="74"/>
      <c r="IX80" s="82">
        <f>(IX33*$JC$33+IX37*$JC$37+IX40*$JC$40+IX43*$JC$43+IX46*$JC$46+IX49*$JC$49+IX52*$JC$52+IX56*$JC$56+IX59*$JC$59+IX64*$JC$64+IX79*$JC$79)/$JC$80</f>
        <v>0</v>
      </c>
      <c r="IY80" s="74"/>
      <c r="IZ80" s="83">
        <f>SUM(IZ33,IZ37,IZ40,IZ43,IZ46,IZ49,IZ52,IZ56,IZ59,IZ64,IZ79)</f>
        <v>8</v>
      </c>
      <c r="JA80" s="74"/>
      <c r="JB80" s="74"/>
      <c r="JC80" s="74">
        <f>SUM(JC79,JC64,JC59,JC56,JC52,JC49,JC46,JC43,JC40,JC37,JC33)</f>
        <v>1671</v>
      </c>
    </row>
    <row r="81" spans="2:266" ht="15" x14ac:dyDescent="0.25">
      <c r="B81" s="105" t="s">
        <v>87</v>
      </c>
      <c r="G81" s="82">
        <f>(G22*U22+G80*U80)/U81</f>
        <v>5.3962719757913946E-2</v>
      </c>
      <c r="H81" s="74"/>
      <c r="I81" s="82">
        <f>(I22*U22+I80*U80)/U81</f>
        <v>6.8221626323004686E-2</v>
      </c>
      <c r="J81" s="74"/>
      <c r="K81" s="82">
        <f>(K22*$HK$22+K80*$HK$80)/$HK$81</f>
        <v>1.1248400829761552E-3</v>
      </c>
      <c r="L81" s="74"/>
      <c r="M81" s="82">
        <f>(M22*$HK$22+M80*$HK$80)/$HK$81</f>
        <v>0.25110264444332009</v>
      </c>
      <c r="N81" s="82">
        <f>(N22*$HK$22+N80*$HK$80)/$HK$81</f>
        <v>0.25110264444332009</v>
      </c>
      <c r="O81" s="82">
        <f>(O22*$HK$22+O80*$HK$80)/$HK$81</f>
        <v>7.0921131593565515E-2</v>
      </c>
      <c r="P81" s="82">
        <f>(P22*$HK$22+P80*$HK$80)/$HK$81</f>
        <v>0</v>
      </c>
      <c r="Q81" s="82">
        <f>(Q22*$HK$22+Q80*$HK$80)/$HK$81</f>
        <v>8.7114820724282574E-2</v>
      </c>
      <c r="R81" s="83">
        <f>SUM(R22,R80)</f>
        <v>21</v>
      </c>
      <c r="U81" s="15">
        <f>SUM(U79,U64,U59,U56,U52,U46,U43,U40,U37,U33,U21,U18,U12,U15,U49)</f>
        <v>4463</v>
      </c>
      <c r="X81" s="66" t="s">
        <v>87</v>
      </c>
      <c r="AC81" s="82">
        <f>(AC22*AQ22+AC80*AQ80)/AQ81</f>
        <v>5.1989144916746763E-2</v>
      </c>
      <c r="AD81" s="74"/>
      <c r="AE81" s="82">
        <f>(AE22*AQ22+AE80*AQ80)/AQ81</f>
        <v>6.1684905037597069E-2</v>
      </c>
      <c r="AF81" s="74"/>
      <c r="AG81" s="82">
        <f>(AG22*$HK$22+AG80*$HK$80)/$HK$81</f>
        <v>8.8748677898804751E-4</v>
      </c>
      <c r="AH81" s="74"/>
      <c r="AI81" s="82">
        <f>(AI22*$HK$22+AI80*$HK$80)/$HK$81</f>
        <v>0.26007390666146263</v>
      </c>
      <c r="AJ81" s="82">
        <f>(AJ22*$HK$22+AJ80*$HK$80)/$HK$81</f>
        <v>0.26007390666146263</v>
      </c>
      <c r="AK81" s="82">
        <f>(AK22*$HK$22+AK80*$HK$80)/$HK$81</f>
        <v>5.8110520986065874E-2</v>
      </c>
      <c r="AL81" s="82">
        <f>(AL22*$HK$22+AL80*$HK$80)/$HK$81</f>
        <v>0</v>
      </c>
      <c r="AM81" s="82">
        <f>(AM22*$HK$22+AM80*$HK$80)/$HK$81</f>
        <v>0.12487891088977714</v>
      </c>
      <c r="AN81" s="83">
        <f>SUM(AN22,AN80)</f>
        <v>39</v>
      </c>
      <c r="AQ81" s="15">
        <f>SUM(AQ79,AQ64,AQ59,AQ56,AQ52,AQ46,AQ43,AQ40,AQ37,AQ33,AQ21,AQ18,AQ12,AQ15,AQ49)</f>
        <v>4463</v>
      </c>
      <c r="AT81" s="66" t="s">
        <v>87</v>
      </c>
      <c r="AY81" s="82">
        <f>(AY22*BM22+AY80*BM80)/BM81</f>
        <v>5.8145959369631781E-2</v>
      </c>
      <c r="AZ81" s="74"/>
      <c r="BA81" s="82">
        <f>(BA22*BM22+BA80*BM80)/BM81</f>
        <v>5.9825229666143849E-2</v>
      </c>
      <c r="BB81" s="74"/>
      <c r="BC81" s="82">
        <f>(BC22*$HK$22+BC80*$HK$80)/$HK$81</f>
        <v>2.3806856374635895E-4</v>
      </c>
      <c r="BD81" s="74"/>
      <c r="BE81" s="82">
        <f>(BE22*$HK$22+BE80*$HK$80)/$HK$81</f>
        <v>0.25620385671073265</v>
      </c>
      <c r="BF81" s="82">
        <f>(BF22*$HK$22+BF80*$HK$80)/$HK$81</f>
        <v>0.25620385671073265</v>
      </c>
      <c r="BG81" s="82">
        <f>(BG22*$HK$22+BG80*$HK$80)/$HK$81</f>
        <v>6.4864424947913432E-2</v>
      </c>
      <c r="BH81" s="82">
        <f>(BH22*$HK$22+BH80*$HK$80)/$HK$81</f>
        <v>0</v>
      </c>
      <c r="BI81" s="82">
        <f>(BI22*$HK$22+BI80*$HK$80)/$HK$81</f>
        <v>0.13395021970772028</v>
      </c>
      <c r="BJ81" s="82"/>
      <c r="BM81" s="15">
        <f>SUM(BM79,BM64,BM59,BM56,BM52,BM46,BM43,BM40,BM37,BM33,BM21,BM18,BM12,BM15,BM49)</f>
        <v>4463</v>
      </c>
      <c r="BP81" s="66" t="s">
        <v>87</v>
      </c>
      <c r="BU81" s="82">
        <f>(BU22*CI22+BU80*CI80)/CI81</f>
        <v>3.9619713703353023E-2</v>
      </c>
      <c r="BV81" s="74"/>
      <c r="BW81" s="82">
        <f>(BW22*CI22+BW80*CI80)/CI81</f>
        <v>6.0841651427869299E-2</v>
      </c>
      <c r="BX81" s="74"/>
      <c r="BY81" s="82">
        <f>(BY22*$HK$22+BY80*$HK$80)/$HK$81</f>
        <v>5.6341387609954254E-4</v>
      </c>
      <c r="BZ81" s="74"/>
      <c r="CA81" s="82">
        <f>(CA22*$HK$22+CA80*$HK$80)/$HK$81</f>
        <v>0.2733895361864217</v>
      </c>
      <c r="CB81" s="82">
        <f>(CB22*$HK$22+CB80*$HK$80)/$HK$81</f>
        <v>0.2733895361864217</v>
      </c>
      <c r="CC81" s="82">
        <f>(CC22*$HK$22+CC80*$HK$80)/$HK$81</f>
        <v>4.9734654960677888E-2</v>
      </c>
      <c r="CD81" s="82">
        <f>(CD22*$HK$22+CD80*$HK$80)/$HK$81</f>
        <v>0</v>
      </c>
      <c r="CE81" s="82">
        <f>(CE22*$HK$22+CE80*$HK$80)/$HK$81</f>
        <v>0.13012425582868939</v>
      </c>
      <c r="CF81" s="82"/>
      <c r="CI81" s="15">
        <f>SUM(CI79,CI64,CI59,CI56,CI52,CI46,CI43,CI40,CI37,CI33,CI21,CI18,CI12,CI15,CI49)</f>
        <v>4463</v>
      </c>
      <c r="CL81" s="66" t="s">
        <v>87</v>
      </c>
      <c r="CQ81" s="82">
        <f>(CQ22*DE22+CQ80*DE80)/DE81</f>
        <v>4.9165725284437474E-2</v>
      </c>
      <c r="CR81" s="74"/>
      <c r="CS81" s="82">
        <f>(CS22*DE22+CS80*DE80)/DE81</f>
        <v>6.9160753852665138E-2</v>
      </c>
      <c r="CT81" s="74"/>
      <c r="CU81" s="82">
        <f>(CU22*$HK$22+CU80*$HK$80)/$HK$81</f>
        <v>1.6724705604102869E-3</v>
      </c>
      <c r="CV81" s="74"/>
      <c r="CW81" s="82">
        <f>(CW22*$HK$22+CW80*$HK$80)/$HK$81</f>
        <v>0.2544141646127418</v>
      </c>
      <c r="CX81" s="82">
        <f>(CX22*$HK$22+CX80*$HK$80)/$HK$81</f>
        <v>0.2544141646127418</v>
      </c>
      <c r="CY81" s="82">
        <f>(CY22*$HK$22+CY80*$HK$80)/$HK$81</f>
        <v>7.3226107576218849E-2</v>
      </c>
      <c r="CZ81" s="82">
        <f>(CZ22*$HK$22+CZ80*$HK$80)/$HK$81</f>
        <v>0</v>
      </c>
      <c r="DA81" s="82">
        <f>(DA22*$HK$22+DA80*$HK$80)/$HK$81</f>
        <v>8.6164800395847327E-2</v>
      </c>
      <c r="DB81" s="82"/>
      <c r="DE81" s="15">
        <f>SUM(DE79,DE64,DE59,DE56,DE52,DE46,DE43,DE40,DE37,DE33,DE21,DE18,DE12,DE15,DE49)</f>
        <v>4463</v>
      </c>
      <c r="DH81" s="66" t="s">
        <v>87</v>
      </c>
      <c r="DJ81" s="6"/>
      <c r="DM81" s="82">
        <f>(DM22*EA22+DM80*EA80)/EA81</f>
        <v>5.9144001214285209E-2</v>
      </c>
      <c r="DN81" s="74"/>
      <c r="DO81" s="82">
        <f>(DO22*EA22+DO80*EA80)/EA81</f>
        <v>5.7909237000040956E-2</v>
      </c>
      <c r="DP81" s="74"/>
      <c r="DQ81" s="82">
        <f>(DQ22*$HK$22+DQ80*$HK$80)/$HK$81</f>
        <v>4.4613838032665238E-3</v>
      </c>
      <c r="DR81" s="74"/>
      <c r="DS81" s="82">
        <f>(DS22*$HK$22+DS80*$HK$80)/$HK$81</f>
        <v>0.2528996931761508</v>
      </c>
      <c r="DT81" s="82">
        <f>(DT22*$HK$22+DT80*$HK$80)/$HK$81</f>
        <v>0.2528996931761508</v>
      </c>
      <c r="DU81" s="82">
        <f>(DU22*$HK$22+DU80*$HK$80)/$HK$81</f>
        <v>7.6578092797960434E-2</v>
      </c>
      <c r="DV81" s="82">
        <f>(DV22*$HK$22+DV80*$HK$80)/$HK$81</f>
        <v>0</v>
      </c>
      <c r="DW81" s="82">
        <f>(DW22*$HK$22+DW80*$HK$80)/$HK$81</f>
        <v>0.10117605960839302</v>
      </c>
      <c r="DX81" s="82"/>
      <c r="EA81" s="15">
        <f>SUM(EA79,EA64,EA59,EA56,EA52,EA46,EA43,EA40,EA37,EA33,EA21,EA18,EA12,EA15,EA49)</f>
        <v>4463</v>
      </c>
      <c r="ED81" s="66" t="s">
        <v>87</v>
      </c>
      <c r="EI81" s="82">
        <f>(EI22*EW22+EI80*EW80)/EW81</f>
        <v>0.11636018915383115</v>
      </c>
      <c r="EJ81" s="74"/>
      <c r="EK81" s="82">
        <f>(EK22*EW22+EK80*EW80)/EW81</f>
        <v>5.1275797537217602E-2</v>
      </c>
      <c r="EL81" s="74"/>
      <c r="EM81" s="82">
        <f>(EM22*$HK$22+EM80*$HK$80)/$HK$81</f>
        <v>0</v>
      </c>
      <c r="EN81" s="74"/>
      <c r="EO81" s="82">
        <f>(EO22*$HK$22+EO80*$HK$80)/$HK$81</f>
        <v>0.20677584391616613</v>
      </c>
      <c r="EP81" s="82">
        <f>(EP22*$HK$22+EP80*$HK$80)/$HK$81</f>
        <v>0.20677584391616613</v>
      </c>
      <c r="EQ81" s="82">
        <f>(EQ22*$HK$22+EQ80*$HK$80)/$HK$81</f>
        <v>0.13235253786152321</v>
      </c>
      <c r="ER81" s="82">
        <f>(ER22*$HK$22+ER80*$HK$80)/$HK$81</f>
        <v>0</v>
      </c>
      <c r="ES81" s="82">
        <f>(ES22*$HK$22+ES80*$HK$80)/$HK$81</f>
        <v>2.8307170203513237</v>
      </c>
      <c r="ET81" s="82"/>
      <c r="EW81" s="15">
        <f>SUM(EW79,EW64,EW59,EW56,EW52,EW46,EW43,EW40,EW37,EW33,EW21,EW18,EW12,EW15,EW49)</f>
        <v>4463</v>
      </c>
      <c r="EZ81" s="66" t="s">
        <v>87</v>
      </c>
      <c r="FE81" s="82">
        <f>(FE22*FS22+FE80*FS80)/FS81</f>
        <v>0.11769262881043074</v>
      </c>
      <c r="FF81" s="74"/>
      <c r="FG81" s="82">
        <f>(FG22*FS22+FG80*FS80)/FS81</f>
        <v>4.9113811444362644E-2</v>
      </c>
      <c r="FH81" s="74"/>
      <c r="FI81" s="82">
        <f>(FI22*$HK$22+FI80*$HK$80)/$HK$81</f>
        <v>2.0135799110143721E-4</v>
      </c>
      <c r="FJ81" s="74"/>
      <c r="FK81" s="82">
        <f>(FK22*$HK$22+FK80*$HK$80)/$HK$81</f>
        <v>0.18733515897739836</v>
      </c>
      <c r="FL81" s="82">
        <f>(FL22*$HK$22+FL80*$HK$80)/$HK$81</f>
        <v>0.20740678315354816</v>
      </c>
      <c r="FM81" s="82">
        <f>(FM22*$HK$22+FM80*$HK$80)/$HK$81</f>
        <v>0.13116555332538024</v>
      </c>
      <c r="FN81" s="82">
        <f>(FN22*$HK$22+FN80*$HK$80)/$HK$81</f>
        <v>0</v>
      </c>
      <c r="FO81" s="82">
        <f>(FO22*$HK$22+FO80*$HK$80)/$HK$81</f>
        <v>6.0993269061489719E-2</v>
      </c>
      <c r="FP81" s="82"/>
      <c r="FS81" s="15">
        <f>SUM(FS79,FS64,FS59,FS56,FS52,FS46,FS43,FS40,FS37,FS33,FS21,FS18,FS12,FS15,FS49)</f>
        <v>4463</v>
      </c>
      <c r="FV81" s="66" t="s">
        <v>87</v>
      </c>
      <c r="GA81" s="82">
        <f>(GA22*GO22+GA80*GO80)/GO81</f>
        <v>0.12802509703439752</v>
      </c>
      <c r="GB81" s="74"/>
      <c r="GC81" s="82">
        <f>(GC22*GO22+GC80*GO80)/GO81</f>
        <v>4.862200313690343E-2</v>
      </c>
      <c r="GD81" s="74"/>
      <c r="GE81" s="82">
        <f>(GE22*$HK$22+GE80*$HK$80)/$HK$81</f>
        <v>0</v>
      </c>
      <c r="GF81" s="74"/>
      <c r="GG81" s="82">
        <f>(GG22*$HK$22+GG80*$HK$80)/$HK$81</f>
        <v>0.19776473043591394</v>
      </c>
      <c r="GH81" s="82">
        <f>(GH22*$HK$22+GH80*$HK$80)/$HK$81</f>
        <v>0.19776473043591394</v>
      </c>
      <c r="GI81" s="82">
        <f>(GI22*$HK$22+GI80*$HK$80)/$HK$81</f>
        <v>0.139647940199394</v>
      </c>
      <c r="GJ81" s="82">
        <f>(GJ22*$HK$22+GJ80*$HK$80)/$HK$81</f>
        <v>0</v>
      </c>
      <c r="GK81" s="82">
        <f>(GK22*$HK$22+GK80*$HK$80)/$HK$81</f>
        <v>9.1000571605482597E-2</v>
      </c>
      <c r="GL81" s="82"/>
      <c r="GO81" s="15">
        <f>SUM(GO79,GO64,GO59,GO56,GO52,GO46,GO43,GO40,GO37,GO33,GO21,GO18,GO12,GO15,GO49)</f>
        <v>4463</v>
      </c>
      <c r="GR81" s="66" t="s">
        <v>87</v>
      </c>
      <c r="GS81" s="74"/>
      <c r="GT81" s="74"/>
      <c r="GU81" s="74"/>
      <c r="GV81" s="74"/>
      <c r="GW81" s="82">
        <f>(GW22*HK22+GW80*HK80)/HK81</f>
        <v>0.38458600032364876</v>
      </c>
      <c r="GX81" s="74"/>
      <c r="GY81" s="82">
        <f>(GY22*HK22+GY80*HK80)/HK81</f>
        <v>0.21218911046381356</v>
      </c>
      <c r="GZ81" s="74"/>
      <c r="HA81" s="82">
        <f>(HA22*$HK$22+HA80*$HK$80)/$HK$81</f>
        <v>1.11728937934125E-2</v>
      </c>
      <c r="HB81" s="74"/>
      <c r="HC81" s="82">
        <f>(HC22*$HK$22+HC80*$HK$80)/$HK$81</f>
        <v>0.37940515685721793</v>
      </c>
      <c r="HD81" s="82">
        <f>(HD22*$HK$22+HD80*$HK$80)/$HK$81</f>
        <v>0.37174134861951358</v>
      </c>
      <c r="HE81" s="82">
        <f>(HE22*$HK$22+HE80*$HK$80)/$HK$81</f>
        <v>0.41474691902471261</v>
      </c>
      <c r="HF81" s="82">
        <f>(HF22*$HK$22+HF80*$HK$80)/$HK$81</f>
        <v>2.0310646799611625E-2</v>
      </c>
      <c r="HG81" s="82">
        <f>(HG22*$HK$22+HG80*$HK$80)/$HK$81</f>
        <v>0.24909520377424252</v>
      </c>
      <c r="HH81" s="83">
        <f>SUM(HH80,HH22)</f>
        <v>11</v>
      </c>
      <c r="HI81" s="74"/>
      <c r="HJ81" s="74"/>
      <c r="HK81" s="83">
        <f>SUM(HK79,HK64,HK59,HK56,HK52,HK46,HK43,HK40,HK37,HK33,HK21,HK18,HK12,HK15,HK49)</f>
        <v>4463</v>
      </c>
      <c r="HN81" s="66" t="s">
        <v>87</v>
      </c>
      <c r="HO81" s="74"/>
      <c r="HP81" s="74"/>
      <c r="HQ81" s="74"/>
      <c r="HR81" s="74"/>
      <c r="HS81" s="82">
        <f>(HS22*$IG$22+HS80*$IG$80)/$IG$81</f>
        <v>0.39022679606995631</v>
      </c>
      <c r="HT81" s="74"/>
      <c r="HU81" s="82">
        <f>(HU22*$IG$22+HU80*$IG$80)/$IG$81</f>
        <v>0.10143446473874798</v>
      </c>
      <c r="HV81" s="74"/>
      <c r="HW81" s="82">
        <f>(HW22*$IG$22+HW80*$IG$80)/$IG$81</f>
        <v>7.6995077808215224E-3</v>
      </c>
      <c r="HX81" s="74"/>
      <c r="HY81" s="74"/>
      <c r="HZ81" s="82">
        <f>(HZ22*$IG$22+HZ80*$IG$80)/$IG$81</f>
        <v>0.47279941225223393</v>
      </c>
      <c r="IA81" s="74"/>
      <c r="IB81" s="82">
        <f>(IB22*$IG$22+IB80*$IG$80)/$IG$81</f>
        <v>2.7839819158240155E-2</v>
      </c>
      <c r="IC81" s="74"/>
      <c r="ID81" s="83">
        <f>SUM(ID80,ID22)</f>
        <v>19</v>
      </c>
      <c r="IE81" s="74"/>
      <c r="IF81" s="74"/>
      <c r="IG81" s="83">
        <f>SUM(IG79,IG64,IG59,IG56,IG52,IG46,IG43,IG40,IG37,IG33,IG21,IG18,IG12,IG15,IG49)</f>
        <v>4463</v>
      </c>
      <c r="IJ81" s="66" t="s">
        <v>87</v>
      </c>
      <c r="IK81" s="74"/>
      <c r="IL81" s="74"/>
      <c r="IM81" s="74"/>
      <c r="IN81" s="74"/>
      <c r="IO81" s="82">
        <f>(IO22*JC22+IO80*JC80)/JC81</f>
        <v>0.34772909353449349</v>
      </c>
      <c r="IP81" s="74"/>
      <c r="IQ81" s="82">
        <f>(IQ22*$JC$22+IQ80*$JC$80)/$JC$81</f>
        <v>8.4472328030472776E-2</v>
      </c>
      <c r="IR81" s="74"/>
      <c r="IS81" s="82">
        <f>(IS22*$JC$22+IS80*$JC$80)/$JC$81</f>
        <v>5.4464018970796927E-3</v>
      </c>
      <c r="IT81" s="74"/>
      <c r="IU81" s="74"/>
      <c r="IV81" s="82">
        <f>(IV22*$JC$22+IV80*$JC$80)/$JC$81</f>
        <v>0.4931614851743969</v>
      </c>
      <c r="IW81" s="74"/>
      <c r="IX81" s="82">
        <f>(IX22*$JC$22+IX80*$JC$80)/$JC$81</f>
        <v>6.9190691363557141E-2</v>
      </c>
      <c r="IY81" s="74"/>
      <c r="IZ81" s="83">
        <f>SUM(IZ80,IZ22)</f>
        <v>15</v>
      </c>
      <c r="JA81" s="74"/>
      <c r="JB81" s="74"/>
      <c r="JC81" s="83">
        <f>SUM(JC79,JC64,JC59,JC56,JC52,JC46,JC43,JC40,JC37,JC33,JC21,JC18,JC12,JC15,JC49)</f>
        <v>4463</v>
      </c>
      <c r="JD81" s="15"/>
    </row>
    <row r="82" spans="2:266" ht="45" x14ac:dyDescent="0.25">
      <c r="B82" s="37"/>
      <c r="S82" s="66" t="s">
        <v>81</v>
      </c>
      <c r="T82" s="71">
        <f>SUM(T79,T64,T59,T56,T52,T49,T46,T40,T37,T33,T21,T18,T15,T12)</f>
        <v>1177928.3229999999</v>
      </c>
      <c r="AO82" s="66" t="s">
        <v>81</v>
      </c>
      <c r="AP82" s="71">
        <f>SUM(AP79,AP64,AP59,AP56,AP52,AP49,AP46,AP40,AP37,AP33,AP21,AP18,AP15,AP12)</f>
        <v>1237705.9270000001</v>
      </c>
      <c r="BK82" s="66" t="s">
        <v>81</v>
      </c>
      <c r="BL82" s="71">
        <f>SUM(BL79,BL64,BL59,BL56,BL52,BL49,BL46,BL40,BL37,BL33,BL21,BL18,BL15,BL12)</f>
        <v>1251656.2779999999</v>
      </c>
      <c r="CG82" s="66" t="s">
        <v>81</v>
      </c>
      <c r="CH82" s="71">
        <f>SUM(CH79,CH64,CH59,CH56,CH52,CH49,CH46,CH40,CH37,CH33,CH21,CH18,CH15,CH12)</f>
        <v>1187641.9480000001</v>
      </c>
      <c r="DC82" s="66" t="s">
        <v>81</v>
      </c>
      <c r="DD82" s="71">
        <f>SUM(DD79,DD64,DD59,DD56,DD52,DD49,DD46,DD40,DD37,DD33,DD21,DD18,DD15,DD12)</f>
        <v>1004464.523</v>
      </c>
      <c r="DE82" s="6"/>
      <c r="DJ82" s="6"/>
      <c r="DY82" s="66" t="s">
        <v>81</v>
      </c>
      <c r="DZ82" s="71">
        <f>SUM(DZ79,DZ64,DZ59,DZ56,DZ52,DZ49,DZ46,DZ40,DZ37,DZ33,DZ21,DZ18,DZ15,DZ12)</f>
        <v>864642.27300000004</v>
      </c>
      <c r="EU82" s="66" t="s">
        <v>81</v>
      </c>
      <c r="EV82" s="71">
        <f>SUM(EV79,EV64,EV59,EV56,EV52,EV49,EV46,EV40,EV37,EV33,EV21,EV18,EV15,EV12)</f>
        <v>912483.90599999996</v>
      </c>
      <c r="FQ82" s="66" t="s">
        <v>81</v>
      </c>
      <c r="FR82" s="71">
        <f>SUM(FR79,FR64,FR59,FR56,FR52,FR49,FR46,FR40,FR37,FR33,FR21,FR18,FR15,FR12)</f>
        <v>814200.10899999994</v>
      </c>
      <c r="GM82" s="66" t="s">
        <v>81</v>
      </c>
      <c r="GN82" s="71">
        <f>SUM(GN79,GN64,GN59,GN56,GN52,GN49,GN46,GN40,GN37,GN33,GN21,GN18,GN15,GN12)</f>
        <v>783233.85</v>
      </c>
      <c r="HI82" s="66" t="s">
        <v>81</v>
      </c>
      <c r="HJ82" s="71">
        <f>SUM(HJ79,HJ64,HJ59,HJ56,HJ52,HJ49,HJ46,HJ40,HJ37,HJ33,HJ21,HJ18,HJ15,HJ12)</f>
        <v>800432.56400000001</v>
      </c>
      <c r="IE82" s="66" t="s">
        <v>81</v>
      </c>
      <c r="IF82" s="71">
        <f>SUM(IF79,IF64,IF59,IF56,IF52,IF49,IF46,IF40,IF37,IF33,IF21,IF18,IF15,IF12)</f>
        <v>918356.87</v>
      </c>
      <c r="JA82" s="66" t="s">
        <v>81</v>
      </c>
      <c r="JB82" s="71">
        <f>SUM(JB79,JB64,JB59,JB56,JB52,JB49,JB46,JB40,JB37,JB33,JB21,JB18,JB15,JB12)</f>
        <v>1024513.1129999999</v>
      </c>
      <c r="JE82" s="76" t="s">
        <v>88</v>
      </c>
      <c r="JF82" s="71">
        <f>SUM(T82,AP82,BL82,CH82,DD82,DZ82,EV82,FR82,GN82,HJ82,IF82,JB82)</f>
        <v>11977259.683999997</v>
      </c>
    </row>
    <row r="83" spans="2:266" ht="14.25" x14ac:dyDescent="0.25">
      <c r="B83" s="37"/>
      <c r="DE83" s="6"/>
      <c r="DJ83" s="6"/>
    </row>
    <row r="84" spans="2:266" ht="12.75" customHeight="1" x14ac:dyDescent="0.25">
      <c r="DE84" s="6"/>
      <c r="DJ84" s="6"/>
    </row>
    <row r="85" spans="2:266" ht="12.75" customHeight="1" x14ac:dyDescent="0.25">
      <c r="DE85" s="6"/>
      <c r="DJ85" s="6"/>
    </row>
    <row r="108" spans="52:52" ht="12.75" customHeight="1" x14ac:dyDescent="0.25">
      <c r="AZ108" s="18">
        <f>AV108/$B$4</f>
        <v>0</v>
      </c>
    </row>
    <row r="109" spans="52:52" ht="12.75" customHeight="1" x14ac:dyDescent="0.25">
      <c r="AZ109" s="18">
        <f>AV109/$B$4</f>
        <v>0</v>
      </c>
    </row>
  </sheetData>
  <mergeCells count="12">
    <mergeCell ref="II3:IW3"/>
    <mergeCell ref="BO3:CC3"/>
    <mergeCell ref="CK3:CY3"/>
    <mergeCell ref="DG3:DU3"/>
    <mergeCell ref="A3:N3"/>
    <mergeCell ref="W3:AK3"/>
    <mergeCell ref="AS3:BG3"/>
    <mergeCell ref="HM3:IA3"/>
    <mergeCell ref="EC3:EQ3"/>
    <mergeCell ref="EY3:FM3"/>
    <mergeCell ref="FU3:GI3"/>
    <mergeCell ref="GQ3:HE3"/>
  </mergeCells>
  <phoneticPr fontId="3" type="noConversion"/>
  <pageMargins left="0.7" right="0.7" top="0.75" bottom="0.75" header="0.3" footer="0.3"/>
  <pageSetup orientation="portrait" r:id="rId1"/>
  <ignoredErrors>
    <ignoredError sqref="B60:B61 B57:B58" numberStoredAsText="1"/>
    <ignoredError sqref="V65:V77 V19 IH65:IH77 HL65:HL77 GP65:GP77 FT65:FT77 EX65:EX77 EB65:EB77 AR65:AR77 BN65:BN77 CJ60:CJ62 DF19 DF13 CJ13 BN13 AR13 EB13 EX13 FT13 GP13 HL13 IH13 V13 CJ19 BN19 AR19 EB19 EX19 FT19 GP19 HL19 IH19 IH16 HL16 GP16 FT16 EX16 EB16 AR16 BN16 CJ16 DF16 V16 CJ23:CJ31 BN23:BN31 AR23:AR31 EB23:EB31 EX23:EX31 FT23:FT31 GP23:GP31 HL23:HL31 IH23:IH31 DF34:DF35 CJ34:CJ35 BN34:BN35 AR34:AR35 EB34:EB35 EX34:EX35 FT34:FT35 GP34:GP35 HL34:HL35 IH34:IH35 V34:V35 DF41 CJ41 BN41 AR41 EB41 EX41 FT41 GP41 HL41 IH41 V41 V38 IH38 HL38 GP38 FT38 EX38 EB38 AR38 BN38 CJ38 DF38 DF44 CJ44 BN44 AR44 EB44 EX44 FT44 GP44 HL44 IH44 V44 DF47 CJ47 BN47 AR47 EB47 EX47 FT47 GP47 HL47 IH47 V47 DF50 CJ50 BN50 AR50 EB50 EX50 FT50 GP50 HL50 IH50 V50 DF53:DF54 CJ53:CJ54 BN53:BN54 AR53:AR54 EB53:EB54 EX53:EX54 FT53:FT54 GP53:GP54 HL53:HL54 IH53:IH54 V53:V54 DF57 CJ57 BN57 AR57 EB57 EX57 FT57 GP57 HL57 IH57 V57 DF60:DF62 BN60:BN62 AR60:AR62 EB60:EB62 EX60:EX62 FT60:FT62 GP60:GP62 HL60:HL62 IH60:IH62 V60:V62 S6:S11 S21 S23:S32 S65:S79" formulaRange="1"/>
    <ignoredError sqref="AD60:AD61 DN61 DJ63 CN63 CR61:CR62 FB63 FX63 GT62:GT63 EF62:EF63 M12:R20 G12:K21 G79:K79 G50:R64 G40:Q49 I33:Q37 G33:G37" formula="1"/>
    <ignoredError sqref="S12:S20 S50:S64 S33:S49" formula="1" formulaRange="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90755-6D56-4ED6-B90E-6CB6D9110258}">
  <dimension ref="A1:AF112"/>
  <sheetViews>
    <sheetView topLeftCell="A13" zoomScale="82" workbookViewId="0">
      <selection activeCell="O7" sqref="O7"/>
    </sheetView>
  </sheetViews>
  <sheetFormatPr defaultColWidth="9.140625" defaultRowHeight="15" customHeight="1" x14ac:dyDescent="0.25"/>
  <cols>
    <col min="1" max="1" width="18.140625" style="9" customWidth="1"/>
    <col min="2" max="2" width="17.7109375" style="8" bestFit="1" customWidth="1"/>
    <col min="3" max="5" width="13" style="8" bestFit="1" customWidth="1"/>
    <col min="6" max="6" width="15.7109375" style="8" bestFit="1" customWidth="1"/>
    <col min="7" max="7" width="8.42578125" style="8" bestFit="1" customWidth="1"/>
    <col min="8" max="8" width="11.85546875" style="8" bestFit="1" customWidth="1"/>
    <col min="9" max="9" width="8.42578125" style="8" bestFit="1" customWidth="1"/>
    <col min="10" max="10" width="10.7109375" style="8" bestFit="1" customWidth="1"/>
    <col min="11" max="11" width="13" style="8" bestFit="1" customWidth="1"/>
    <col min="12" max="12" width="10.7109375" style="8" bestFit="1" customWidth="1"/>
    <col min="13" max="13" width="7.85546875" style="8" bestFit="1" customWidth="1"/>
    <col min="14" max="14" width="8.42578125" style="8" bestFit="1" customWidth="1"/>
    <col min="15" max="15" width="7.85546875" style="8" bestFit="1" customWidth="1"/>
    <col min="16" max="16" width="8.42578125" style="8" bestFit="1" customWidth="1"/>
    <col min="17" max="17" width="11.7109375" style="9" customWidth="1"/>
    <col min="18" max="18" width="16.28515625" style="9" customWidth="1"/>
    <col min="19" max="19" width="10.7109375" style="9" bestFit="1" customWidth="1"/>
    <col min="20" max="20" width="9.140625" style="4"/>
    <col min="21" max="21" width="16.85546875" style="9" customWidth="1"/>
    <col min="22" max="22" width="9.140625" style="9"/>
    <col min="23" max="23" width="11.42578125" style="9" customWidth="1"/>
    <col min="24" max="24" width="15" style="9" customWidth="1"/>
    <col min="25" max="25" width="11.5703125" style="9" bestFit="1" customWidth="1"/>
    <col min="26" max="26" width="43.85546875" style="9" customWidth="1"/>
    <col min="27" max="27" width="5.85546875" style="4" bestFit="1" customWidth="1"/>
    <col min="28" max="28" width="10.5703125" style="4" customWidth="1"/>
    <col min="29" max="29" width="9.5703125" style="4" customWidth="1"/>
    <col min="30" max="30" width="9.7109375" style="4" customWidth="1"/>
    <col min="31" max="31" width="9.85546875" style="4" customWidth="1"/>
    <col min="32" max="32" width="14.140625" style="4" customWidth="1"/>
    <col min="33" max="16384" width="9.140625" style="4"/>
  </cols>
  <sheetData>
    <row r="1" spans="1:32" ht="15" customHeight="1" x14ac:dyDescent="0.25">
      <c r="C1" s="46"/>
    </row>
    <row r="2" spans="1:32" ht="30" x14ac:dyDescent="0.25">
      <c r="A2" s="58" t="s">
        <v>89</v>
      </c>
      <c r="B2" s="8">
        <f>SUM('KPI_FY 24-25'!B4,'KPI_FY 24-25'!X4,'KPI_FY 24-25'!AT4,'KPI_FY 24-25'!BP4,'KPI_FY 24-25'!CL4,'KPI_FY 24-25'!DH4,'KPI_FY 24-25'!ED4,'KPI_FY 24-25'!EZ4,'KPI_FY 24-25'!FV4,'KPI_FY 24-25'!GR4,'KPI_FY 24-25'!HN4,'KPI_FY 24-25'!IJ4)</f>
        <v>8760</v>
      </c>
      <c r="C2" s="42"/>
      <c r="D2" s="15"/>
      <c r="F2" s="46"/>
      <c r="H2" s="46"/>
    </row>
    <row r="3" spans="1:32" ht="36" customHeight="1" x14ac:dyDescent="0.25">
      <c r="A3" s="10" t="s">
        <v>13</v>
      </c>
      <c r="B3" s="11" t="s">
        <v>14</v>
      </c>
      <c r="C3" s="11" t="s">
        <v>15</v>
      </c>
      <c r="D3" s="11" t="s">
        <v>16</v>
      </c>
      <c r="E3" s="11" t="s">
        <v>17</v>
      </c>
      <c r="F3" s="11" t="s">
        <v>18</v>
      </c>
      <c r="G3" s="11" t="s">
        <v>19</v>
      </c>
      <c r="H3" s="11" t="s">
        <v>20</v>
      </c>
      <c r="I3" s="11" t="s">
        <v>21</v>
      </c>
      <c r="J3" s="11" t="s">
        <v>22</v>
      </c>
      <c r="K3" s="11" t="s">
        <v>23</v>
      </c>
      <c r="L3" s="11" t="s">
        <v>24</v>
      </c>
      <c r="M3" s="11" t="s">
        <v>25</v>
      </c>
      <c r="N3" s="11" t="s">
        <v>26</v>
      </c>
      <c r="O3" s="11" t="s">
        <v>27</v>
      </c>
      <c r="P3" s="61" t="s">
        <v>28</v>
      </c>
      <c r="Q3" s="59" t="s">
        <v>82</v>
      </c>
      <c r="R3" s="67" t="s">
        <v>30</v>
      </c>
      <c r="S3" s="14" t="s">
        <v>31</v>
      </c>
      <c r="T3" s="66" t="s">
        <v>91</v>
      </c>
      <c r="W3" s="66"/>
      <c r="X3" s="66"/>
      <c r="Y3" s="74"/>
      <c r="Z3" s="64"/>
      <c r="AD3" s="2"/>
      <c r="AE3" s="2"/>
      <c r="AF3" s="60"/>
    </row>
    <row r="4" spans="1:32" x14ac:dyDescent="0.25">
      <c r="A4" s="16" t="s">
        <v>33</v>
      </c>
      <c r="B4" s="17" t="s">
        <v>34</v>
      </c>
      <c r="C4" s="6">
        <f>SUM('KPI_FY 24-25'!C6,'KPI_FY 24-25'!Y6,'KPI_FY 24-25'!AU6,'KPI_FY 24-25'!BQ6,'KPI_FY 24-25'!CM6,'KPI_FY 24-25'!DI6,'KPI_FY 24-25'!EE6,'KPI_FY 24-25'!FA6,'KPI_FY 24-25'!FW6,'KPI_FY 24-25'!GS6,'KPI_FY 24-25'!HO6,'KPI_FY 24-25'!IK6)</f>
        <v>8305.6999999999989</v>
      </c>
      <c r="D4" s="6">
        <f>SUM('KPI_FY 24-25'!D6,'KPI_FY 24-25'!Z6,'KPI_FY 24-25'!AV6,'KPI_FY 24-25'!BR6,'KPI_FY 24-25'!CN6,'KPI_FY 24-25'!DJ6,'KPI_FY 24-25'!EF6,'KPI_FY 24-25'!FB6,'KPI_FY 24-25'!FX6,'KPI_FY 24-25'!GT6,'KPI_FY 24-25'!HP6,'KPI_FY 24-25'!IL6)</f>
        <v>8302.1</v>
      </c>
      <c r="E4" s="6">
        <f>SUM('KPI_FY 24-25'!E6,'KPI_FY 24-25'!AA6,'KPI_FY 24-25'!AW6,'KPI_FY 24-25'!BS6,'KPI_FY 24-25'!CO6,'KPI_FY 24-25'!DK6,'KPI_FY 24-25'!EG6,'KPI_FY 24-25'!FC6,'KPI_FY 24-25'!FY6,'KPI_FY 24-25'!GU6,'KPI_FY 24-25'!HQ6,'KPI_FY 24-25'!IM6)</f>
        <v>3.6</v>
      </c>
      <c r="F4" s="8">
        <f>SUM('KPI_FY 24-25'!F6,'KPI_FY 24-25'!AB6,'KPI_FY 24-25'!AX6,'KPI_FY 24-25'!BT6,'KPI_FY 24-25'!CP6,'KPI_FY 24-25'!DL6,'KPI_FY 24-25'!EH6,'KPI_FY 24-25'!FD6,'KPI_FY 24-25'!FZ6,'KPI_FY 24-25'!GV6,'KPI_FY 24-25'!HR6,'KPI_FY 24-25'!IN6)</f>
        <v>219.00000000000003</v>
      </c>
      <c r="G4" s="69">
        <f>(F4/$B$2)</f>
        <v>2.5000000000000005E-2</v>
      </c>
      <c r="H4" s="8">
        <f>SUM('KPI_FY 24-25'!H6,'KPI_FY 24-25'!AD6,'KPI_FY 24-25'!AZ6,'KPI_FY 24-25'!BV6,'KPI_FY 24-25'!CR6,'KPI_FY 24-25'!DN6,'KPI_FY 24-25'!EJ6,'KPI_FY 24-25'!FF6,'KPI_FY 24-25'!GB6,'KPI_FY 24-25'!GX6,'KPI_FY 24-25'!HT6,'KPI_FY 24-25'!IP6)</f>
        <v>0</v>
      </c>
      <c r="I4" s="69">
        <f>(H4/$B$2)</f>
        <v>0</v>
      </c>
      <c r="J4" s="15">
        <f>SUM('KPI_FY 24-25'!J6,'KPI_FY 24-25'!AF6,'KPI_FY 24-25'!BB6,'KPI_FY 24-25'!BX6,'KPI_FY 24-25'!CT6,'KPI_FY 24-25'!DP6,'KPI_FY 24-25'!EL6,'KPI_FY 24-25'!FH6,'KPI_FY 24-25'!GD6,'KPI_FY 24-25'!GZ6,'KPI_FY 24-25'!HV6,'KPI_FY 24-25'!IR6)</f>
        <v>235.29999999999998</v>
      </c>
      <c r="K4" s="69">
        <f>(J4/$B$2)</f>
        <v>2.6860730593607305E-2</v>
      </c>
      <c r="L4" s="8">
        <f>SUM('KPI_FY 24-25'!L6,'KPI_FY 24-25'!AH6,'KPI_FY 24-25'!BD6,'KPI_FY 24-25'!BZ6,'KPI_FY 24-25'!CV6,'KPI_FY 24-25'!DR6,'KPI_FY 24-25'!EN6,'KPI_FY 24-25'!FJ6,'KPI_FY 24-25'!GF6,'KPI_FY 24-25'!HB6,'KPI_FY 24-25'!HX6,'KPI_FY 24-25'!IT6)</f>
        <v>179.94</v>
      </c>
      <c r="M4" s="6">
        <f>(C4/$B$2)</f>
        <v>0.94813926940639259</v>
      </c>
      <c r="N4" s="6">
        <f>((C4-L4)/$B$2)</f>
        <v>0.92759817351598162</v>
      </c>
      <c r="O4" s="18">
        <f>IF((AND(D4=0,F4=0)),0,(F4+L4)/(D4+F4+L4))</f>
        <v>4.5849691531127314E-2</v>
      </c>
      <c r="P4" s="6">
        <f>(R4/($B$2*S4))</f>
        <v>0.7855971746575342</v>
      </c>
      <c r="Q4" s="6">
        <f>(L4/$B$2)</f>
        <v>2.0541095890410959E-2</v>
      </c>
      <c r="R4" s="131">
        <f>SUM('KPI_FY 24-25'!T6,'KPI_FY 24-25'!AP6,'KPI_FY 24-25'!BL6,'KPI_FY 24-25'!CH6,'KPI_FY 24-25'!DD6,'KPI_FY 24-25'!DZ6,'KPI_FY 24-25'!EV6,'KPI_FY 24-25'!FR6,'KPI_FY 24-25'!GN6,'KPI_FY 24-25'!HJ6,'KPI_FY 24-25'!IF6,'KPI_FY 24-25'!JB6)</f>
        <v>1101093</v>
      </c>
      <c r="S4" s="20">
        <v>160</v>
      </c>
      <c r="T4" s="132">
        <f>N4+K4+I4+G4+Q4</f>
        <v>0.99999999999999989</v>
      </c>
      <c r="U4" s="133"/>
      <c r="V4" s="64"/>
      <c r="W4" s="6"/>
      <c r="X4" s="68"/>
      <c r="Y4" s="6"/>
      <c r="Z4" s="65"/>
      <c r="AC4" s="5"/>
      <c r="AD4" s="3"/>
      <c r="AE4" s="3"/>
    </row>
    <row r="5" spans="1:32" x14ac:dyDescent="0.25">
      <c r="A5" s="16" t="s">
        <v>35</v>
      </c>
      <c r="B5" s="17" t="s">
        <v>36</v>
      </c>
      <c r="C5" s="6">
        <f>SUM('KPI_FY 24-25'!C7,'KPI_FY 24-25'!Y7,'KPI_FY 24-25'!AU7,'KPI_FY 24-25'!BQ7,'KPI_FY 24-25'!CM7,'KPI_FY 24-25'!DI7,'KPI_FY 24-25'!EE7,'KPI_FY 24-25'!FA7,'KPI_FY 24-25'!FW7,'KPI_FY 24-25'!GS7,'KPI_FY 24-25'!HO7,'KPI_FY 24-25'!IK7)</f>
        <v>6166.3</v>
      </c>
      <c r="D5" s="6">
        <f>SUM('KPI_FY 24-25'!D7,'KPI_FY 24-25'!Z7,'KPI_FY 24-25'!AV7,'KPI_FY 24-25'!BR7,'KPI_FY 24-25'!CN7,'KPI_FY 24-25'!DJ7,'KPI_FY 24-25'!EF7,'KPI_FY 24-25'!FB7,'KPI_FY 24-25'!FX7,'KPI_FY 24-25'!GT7,'KPI_FY 24-25'!HP7,'KPI_FY 24-25'!IL7)</f>
        <v>6157.9</v>
      </c>
      <c r="E5" s="6">
        <f>SUM('KPI_FY 24-25'!E7,'KPI_FY 24-25'!AA7,'KPI_FY 24-25'!AW7,'KPI_FY 24-25'!BS7,'KPI_FY 24-25'!CO7,'KPI_FY 24-25'!DK7,'KPI_FY 24-25'!EG7,'KPI_FY 24-25'!FC7,'KPI_FY 24-25'!FY7,'KPI_FY 24-25'!GU7,'KPI_FY 24-25'!HQ7,'KPI_FY 24-25'!IM7)</f>
        <v>8.4</v>
      </c>
      <c r="F5" s="8">
        <f>SUM('KPI_FY 24-25'!F7,'KPI_FY 24-25'!AB7,'KPI_FY 24-25'!AX7,'KPI_FY 24-25'!BT7,'KPI_FY 24-25'!CP7,'KPI_FY 24-25'!DL7,'KPI_FY 24-25'!EH7,'KPI_FY 24-25'!FD7,'KPI_FY 24-25'!FZ7,'KPI_FY 24-25'!GV7,'KPI_FY 24-25'!HR7,'KPI_FY 24-25'!IN7)</f>
        <v>2077.8999999999996</v>
      </c>
      <c r="G5" s="69">
        <f t="shared" ref="G5:G9" si="0">(F5/$B$2)</f>
        <v>0.23720319634703191</v>
      </c>
      <c r="H5" s="8">
        <f>SUM('KPI_FY 24-25'!H7,'KPI_FY 24-25'!AD7,'KPI_FY 24-25'!AZ7,'KPI_FY 24-25'!BV7,'KPI_FY 24-25'!CR7,'KPI_FY 24-25'!DN7,'KPI_FY 24-25'!EJ7,'KPI_FY 24-25'!FF7,'KPI_FY 24-25'!GB7,'KPI_FY 24-25'!GX7,'KPI_FY 24-25'!HT7,'KPI_FY 24-25'!IP7)</f>
        <v>328.2</v>
      </c>
      <c r="I5" s="69">
        <f t="shared" ref="I5:I9" si="1">(H5/$B$2)</f>
        <v>3.7465753424657536E-2</v>
      </c>
      <c r="J5" s="15">
        <f>SUM('KPI_FY 24-25'!J7,'KPI_FY 24-25'!AF7,'KPI_FY 24-25'!BB7,'KPI_FY 24-25'!BX7,'KPI_FY 24-25'!CT7,'KPI_FY 24-25'!DP7,'KPI_FY 24-25'!EL7,'KPI_FY 24-25'!FH7,'KPI_FY 24-25'!GD7,'KPI_FY 24-25'!GZ7,'KPI_FY 24-25'!HV7,'KPI_FY 24-25'!IR7)</f>
        <v>187.6</v>
      </c>
      <c r="K5" s="69">
        <f t="shared" ref="K5:K9" si="2">(J5/$B$2)</f>
        <v>2.1415525114155249E-2</v>
      </c>
      <c r="L5" s="8">
        <f>SUM('KPI_FY 24-25'!L7,'KPI_FY 24-25'!AH7,'KPI_FY 24-25'!BD7,'KPI_FY 24-25'!BZ7,'KPI_FY 24-25'!CV7,'KPI_FY 24-25'!DR7,'KPI_FY 24-25'!EN7,'KPI_FY 24-25'!FJ7,'KPI_FY 24-25'!GF7,'KPI_FY 24-25'!HB7,'KPI_FY 24-25'!HX7,'KPI_FY 24-25'!IT7)</f>
        <v>226.25</v>
      </c>
      <c r="M5" s="6">
        <f t="shared" ref="M5:M9" si="3">(C5/$B$2)</f>
        <v>0.70391552511415523</v>
      </c>
      <c r="N5" s="6">
        <f t="shared" ref="N5:N9" si="4">((C5-L5)/$B$2)</f>
        <v>0.678087899543379</v>
      </c>
      <c r="O5" s="18">
        <f t="shared" ref="O5:O9" si="5">IF((AND(D5=0,F5=0)),0,(F5+L5)/(D5+F5+L5))</f>
        <v>0.27229217506396203</v>
      </c>
      <c r="P5" s="6">
        <f t="shared" ref="P5:P9" si="6">(R5/($B$2*S5))</f>
        <v>0.53476217656012182</v>
      </c>
      <c r="Q5" s="6">
        <f t="shared" ref="Q5:Q9" si="7">(L5/$B$2)</f>
        <v>2.5827625570776256E-2</v>
      </c>
      <c r="R5" s="131">
        <f>SUM('KPI_FY 24-25'!T7,'KPI_FY 24-25'!AP7,'KPI_FY 24-25'!BL7,'KPI_FY 24-25'!CH7,'KPI_FY 24-25'!DD7,'KPI_FY 24-25'!DZ7,'KPI_FY 24-25'!EV7,'KPI_FY 24-25'!FR7,'KPI_FY 24-25'!GN7,'KPI_FY 24-25'!HJ7,'KPI_FY 24-25'!IF7,'KPI_FY 24-25'!JB7)</f>
        <v>281071</v>
      </c>
      <c r="S5" s="20">
        <v>60</v>
      </c>
      <c r="T5" s="132">
        <f t="shared" ref="T5:T9" si="8">N5+K5+I5+G5+Q5</f>
        <v>0.99999999999999989</v>
      </c>
      <c r="U5" s="133"/>
      <c r="V5" s="64"/>
      <c r="W5" s="6"/>
      <c r="X5" s="68"/>
      <c r="Y5" s="6"/>
      <c r="AC5" s="5"/>
      <c r="AD5" s="3"/>
      <c r="AE5" s="3"/>
    </row>
    <row r="6" spans="1:32" x14ac:dyDescent="0.25">
      <c r="A6" s="17"/>
      <c r="B6" s="17" t="s">
        <v>37</v>
      </c>
      <c r="C6" s="6">
        <f>SUM('KPI_FY 24-25'!C8,'KPI_FY 24-25'!Y8,'KPI_FY 24-25'!AU8,'KPI_FY 24-25'!BQ8,'KPI_FY 24-25'!CM8,'KPI_FY 24-25'!DI8,'KPI_FY 24-25'!EE8,'KPI_FY 24-25'!FA8,'KPI_FY 24-25'!FW8,'KPI_FY 24-25'!GS8,'KPI_FY 24-25'!HO8,'KPI_FY 24-25'!IK8)</f>
        <v>2076.5</v>
      </c>
      <c r="D6" s="6">
        <f>SUM('KPI_FY 24-25'!D8,'KPI_FY 24-25'!Z8,'KPI_FY 24-25'!AV8,'KPI_FY 24-25'!BR8,'KPI_FY 24-25'!CN8,'KPI_FY 24-25'!DJ8,'KPI_FY 24-25'!EF8,'KPI_FY 24-25'!FB8,'KPI_FY 24-25'!FX8,'KPI_FY 24-25'!GT8,'KPI_FY 24-25'!HP8,'KPI_FY 24-25'!IL8)</f>
        <v>1845.2</v>
      </c>
      <c r="E6" s="6">
        <f>SUM('KPI_FY 24-25'!E8,'KPI_FY 24-25'!AA8,'KPI_FY 24-25'!AW8,'KPI_FY 24-25'!BS8,'KPI_FY 24-25'!CO8,'KPI_FY 24-25'!DK8,'KPI_FY 24-25'!EG8,'KPI_FY 24-25'!FC8,'KPI_FY 24-25'!FY8,'KPI_FY 24-25'!GU8,'KPI_FY 24-25'!HQ8,'KPI_FY 24-25'!IM8)</f>
        <v>231.3</v>
      </c>
      <c r="F6" s="8">
        <f>SUM('KPI_FY 24-25'!F8,'KPI_FY 24-25'!AB8,'KPI_FY 24-25'!AX8,'KPI_FY 24-25'!BT8,'KPI_FY 24-25'!CP8,'KPI_FY 24-25'!DL8,'KPI_FY 24-25'!EH8,'KPI_FY 24-25'!FD8,'KPI_FY 24-25'!FZ8,'KPI_FY 24-25'!GV8,'KPI_FY 24-25'!HR8,'KPI_FY 24-25'!IN8)</f>
        <v>2092.3000000000002</v>
      </c>
      <c r="G6" s="69">
        <f t="shared" si="0"/>
        <v>0.23884703196347035</v>
      </c>
      <c r="H6" s="8">
        <f>SUM('KPI_FY 24-25'!H8,'KPI_FY 24-25'!AD8,'KPI_FY 24-25'!AZ8,'KPI_FY 24-25'!BV8,'KPI_FY 24-25'!CR8,'KPI_FY 24-25'!DN8,'KPI_FY 24-25'!EJ8,'KPI_FY 24-25'!FF8,'KPI_FY 24-25'!GB8,'KPI_FY 24-25'!GX8,'KPI_FY 24-25'!HT8,'KPI_FY 24-25'!IP8)</f>
        <v>4535.8</v>
      </c>
      <c r="I6" s="69">
        <f t="shared" si="1"/>
        <v>0.51778538812785391</v>
      </c>
      <c r="J6" s="15">
        <f>SUM('KPI_FY 24-25'!J8,'KPI_FY 24-25'!AF8,'KPI_FY 24-25'!BB8,'KPI_FY 24-25'!BX8,'KPI_FY 24-25'!CT8,'KPI_FY 24-25'!DP8,'KPI_FY 24-25'!EL8,'KPI_FY 24-25'!FH8,'KPI_FY 24-25'!GD8,'KPI_FY 24-25'!GZ8,'KPI_FY 24-25'!HV8,'KPI_FY 24-25'!IR8)</f>
        <v>55.400000000000006</v>
      </c>
      <c r="K6" s="69">
        <f t="shared" si="2"/>
        <v>6.3242009132420101E-3</v>
      </c>
      <c r="L6" s="8">
        <f>SUM('KPI_FY 24-25'!L8,'KPI_FY 24-25'!AH8,'KPI_FY 24-25'!BD8,'KPI_FY 24-25'!BZ8,'KPI_FY 24-25'!CV8,'KPI_FY 24-25'!DR8,'KPI_FY 24-25'!EN8,'KPI_FY 24-25'!FJ8,'KPI_FY 24-25'!GF8,'KPI_FY 24-25'!HB8,'KPI_FY 24-25'!HX8,'KPI_FY 24-25'!IT8)</f>
        <v>0</v>
      </c>
      <c r="M6" s="6">
        <f t="shared" si="3"/>
        <v>0.23704337899543379</v>
      </c>
      <c r="N6" s="6">
        <f t="shared" si="4"/>
        <v>0.23704337899543379</v>
      </c>
      <c r="O6" s="18">
        <f t="shared" si="5"/>
        <v>0.53137777777777784</v>
      </c>
      <c r="P6" s="6">
        <f t="shared" si="6"/>
        <v>0.17783461757990868</v>
      </c>
      <c r="Q6" s="6">
        <f t="shared" si="7"/>
        <v>0</v>
      </c>
      <c r="R6" s="131">
        <f>SUM('KPI_FY 24-25'!T8,'KPI_FY 24-25'!AP8,'KPI_FY 24-25'!BL8,'KPI_FY 24-25'!CH8,'KPI_FY 24-25'!DD8,'KPI_FY 24-25'!DZ8,'KPI_FY 24-25'!EV8,'KPI_FY 24-25'!FR8,'KPI_FY 24-25'!GN8,'KPI_FY 24-25'!HJ8,'KPI_FY 24-25'!IF8,'KPI_FY 24-25'!JB8)</f>
        <v>249253</v>
      </c>
      <c r="S6" s="20">
        <v>160</v>
      </c>
      <c r="T6" s="132">
        <f t="shared" si="8"/>
        <v>1</v>
      </c>
      <c r="U6" s="133"/>
      <c r="V6" s="64"/>
      <c r="W6" s="6"/>
      <c r="X6" s="68"/>
      <c r="Y6" s="6"/>
      <c r="Z6" s="65"/>
      <c r="AA6" s="57"/>
      <c r="AC6" s="5"/>
      <c r="AD6" s="3"/>
      <c r="AE6" s="3"/>
    </row>
    <row r="7" spans="1:32" x14ac:dyDescent="0.25">
      <c r="A7" s="8"/>
      <c r="B7" s="17" t="s">
        <v>38</v>
      </c>
      <c r="C7" s="6">
        <f>SUM('KPI_FY 24-25'!C9,'KPI_FY 24-25'!Y9,'KPI_FY 24-25'!AU9,'KPI_FY 24-25'!BQ9,'KPI_FY 24-25'!CM9,'KPI_FY 24-25'!DI9,'KPI_FY 24-25'!EE9,'KPI_FY 24-25'!FA9,'KPI_FY 24-25'!FW9,'KPI_FY 24-25'!GS9,'KPI_FY 24-25'!HO9,'KPI_FY 24-25'!IK9)</f>
        <v>0</v>
      </c>
      <c r="D7" s="6">
        <f>SUM('KPI_FY 24-25'!D9,'KPI_FY 24-25'!Z9,'KPI_FY 24-25'!AV9,'KPI_FY 24-25'!BR9,'KPI_FY 24-25'!CN9,'KPI_FY 24-25'!DJ9,'KPI_FY 24-25'!EF9,'KPI_FY 24-25'!FB9,'KPI_FY 24-25'!FX9,'KPI_FY 24-25'!GT9,'KPI_FY 24-25'!HP9,'KPI_FY 24-25'!IL9)</f>
        <v>0</v>
      </c>
      <c r="E7" s="6">
        <f>SUM('KPI_FY 24-25'!E9,'KPI_FY 24-25'!AA9,'KPI_FY 24-25'!AW9,'KPI_FY 24-25'!BS9,'KPI_FY 24-25'!CO9,'KPI_FY 24-25'!DK9,'KPI_FY 24-25'!EG9,'KPI_FY 24-25'!FC9,'KPI_FY 24-25'!FY9,'KPI_FY 24-25'!GU9,'KPI_FY 24-25'!HQ9,'KPI_FY 24-25'!IM9)</f>
        <v>0</v>
      </c>
      <c r="F7" s="8">
        <f>SUM('KPI_FY 24-25'!F9,'KPI_FY 24-25'!AB9,'KPI_FY 24-25'!AX9,'KPI_FY 24-25'!BT9,'KPI_FY 24-25'!CP9,'KPI_FY 24-25'!DL9,'KPI_FY 24-25'!EH9,'KPI_FY 24-25'!FD9,'KPI_FY 24-25'!FZ9,'KPI_FY 24-25'!GV9,'KPI_FY 24-25'!HR9,'KPI_FY 24-25'!IN9)</f>
        <v>2952</v>
      </c>
      <c r="G7" s="69">
        <f t="shared" si="0"/>
        <v>0.33698630136986302</v>
      </c>
      <c r="H7" s="130">
        <f>SUM('KPI_FY 24-25'!H9,'KPI_FY 24-25'!AD9,'KPI_FY 24-25'!AZ9,'KPI_FY 24-25'!BV9,'KPI_FY 24-25'!CR9,'KPI_FY 24-25'!DN9,'KPI_FY 24-25'!EJ9,'KPI_FY 24-25'!FF9,'KPI_FY 24-25'!GB9,'KPI_FY 24-25'!GX9,'KPI_FY 24-25'!HT9,'KPI_FY 24-25'!IP9)</f>
        <v>5808</v>
      </c>
      <c r="I7" s="69">
        <f t="shared" si="1"/>
        <v>0.66301369863013704</v>
      </c>
      <c r="J7" s="15">
        <f>SUM('KPI_FY 24-25'!J9,'KPI_FY 24-25'!AF9,'KPI_FY 24-25'!BB9,'KPI_FY 24-25'!BX9,'KPI_FY 24-25'!CT9,'KPI_FY 24-25'!DP9,'KPI_FY 24-25'!EL9,'KPI_FY 24-25'!FH9,'KPI_FY 24-25'!GD9,'KPI_FY 24-25'!GZ9,'KPI_FY 24-25'!HV9,'KPI_FY 24-25'!IR9)</f>
        <v>0</v>
      </c>
      <c r="K7" s="69">
        <f t="shared" si="2"/>
        <v>0</v>
      </c>
      <c r="L7" s="8">
        <f>SUM('KPI_FY 24-25'!L9,'KPI_FY 24-25'!AH9,'KPI_FY 24-25'!BD9,'KPI_FY 24-25'!BZ9,'KPI_FY 24-25'!CV9,'KPI_FY 24-25'!DR9,'KPI_FY 24-25'!EN9,'KPI_FY 24-25'!FJ9,'KPI_FY 24-25'!GF9,'KPI_FY 24-25'!HB9,'KPI_FY 24-25'!HX9,'KPI_FY 24-25'!IT9)</f>
        <v>0</v>
      </c>
      <c r="M7" s="6">
        <f t="shared" si="3"/>
        <v>0</v>
      </c>
      <c r="N7" s="6">
        <f t="shared" si="4"/>
        <v>0</v>
      </c>
      <c r="O7" s="18">
        <f t="shared" si="5"/>
        <v>1</v>
      </c>
      <c r="P7" s="6">
        <f t="shared" si="6"/>
        <v>0</v>
      </c>
      <c r="Q7" s="6">
        <f t="shared" si="7"/>
        <v>0</v>
      </c>
      <c r="R7" s="134">
        <f>SUM('KPI_FY 24-25'!T9,'KPI_FY 24-25'!AP9,'KPI_FY 24-25'!BL9,'KPI_FY 24-25'!CH9,'KPI_FY 24-25'!DD9,'KPI_FY 24-25'!DZ9,'KPI_FY 24-25'!EV9,'KPI_FY 24-25'!FR9,'KPI_FY 24-25'!GN9,'KPI_FY 24-25'!HJ9,'KPI_FY 24-25'!IF9,'KPI_FY 24-25'!JB9)</f>
        <v>0</v>
      </c>
      <c r="S7" s="20">
        <v>60</v>
      </c>
      <c r="T7" s="132">
        <f t="shared" si="8"/>
        <v>1</v>
      </c>
      <c r="U7" s="133"/>
      <c r="V7" s="64"/>
      <c r="W7" s="6"/>
      <c r="X7" s="68"/>
      <c r="Y7" s="6"/>
      <c r="AC7" s="5"/>
      <c r="AD7" s="3"/>
      <c r="AE7" s="3"/>
    </row>
    <row r="8" spans="1:32" x14ac:dyDescent="0.25">
      <c r="A8" s="8"/>
      <c r="B8" s="17">
        <v>7</v>
      </c>
      <c r="C8" s="6">
        <f>SUM('KPI_FY 24-25'!C10,'KPI_FY 24-25'!Y10,'KPI_FY 24-25'!AU10,'KPI_FY 24-25'!BQ10,'KPI_FY 24-25'!CM10,'KPI_FY 24-25'!DI10,'KPI_FY 24-25'!EE10,'KPI_FY 24-25'!FA10,'KPI_FY 24-25'!FW10,'KPI_FY 24-25'!GS10,'KPI_FY 24-25'!HO10,'KPI_FY 24-25'!IK10)</f>
        <v>1864.3</v>
      </c>
      <c r="D8" s="6">
        <f>SUM('KPI_FY 24-25'!D10,'KPI_FY 24-25'!Z10,'KPI_FY 24-25'!AV10,'KPI_FY 24-25'!BR10,'KPI_FY 24-25'!CN10,'KPI_FY 24-25'!DJ10,'KPI_FY 24-25'!EF10,'KPI_FY 24-25'!FB10,'KPI_FY 24-25'!FX10,'KPI_FY 24-25'!GT10,'KPI_FY 24-25'!HP10,'KPI_FY 24-25'!IL10)</f>
        <v>1864.3</v>
      </c>
      <c r="E8" s="6">
        <f>SUM('KPI_FY 24-25'!E10,'KPI_FY 24-25'!AA10,'KPI_FY 24-25'!AW10,'KPI_FY 24-25'!BS10,'KPI_FY 24-25'!CO10,'KPI_FY 24-25'!DK10,'KPI_FY 24-25'!EG10,'KPI_FY 24-25'!FC10,'KPI_FY 24-25'!FY10,'KPI_FY 24-25'!GU10,'KPI_FY 24-25'!HQ10,'KPI_FY 24-25'!IM10)</f>
        <v>0</v>
      </c>
      <c r="F8" s="8">
        <f>SUM('KPI_FY 24-25'!F10,'KPI_FY 24-25'!AB10,'KPI_FY 24-25'!AX10,'KPI_FY 24-25'!BT10,'KPI_FY 24-25'!CP10,'KPI_FY 24-25'!DL10,'KPI_FY 24-25'!EH10,'KPI_FY 24-25'!FD10,'KPI_FY 24-25'!FZ10,'KPI_FY 24-25'!GV10,'KPI_FY 24-25'!HR10,'KPI_FY 24-25'!IN10)</f>
        <v>1447.6999999999998</v>
      </c>
      <c r="G8" s="69">
        <f t="shared" si="0"/>
        <v>0.16526255707762555</v>
      </c>
      <c r="H8" s="130">
        <f>SUM('KPI_FY 24-25'!H10,'KPI_FY 24-25'!AD10,'KPI_FY 24-25'!AZ10,'KPI_FY 24-25'!BV10,'KPI_FY 24-25'!CR10,'KPI_FY 24-25'!DN10,'KPI_FY 24-25'!EJ10,'KPI_FY 24-25'!FF10,'KPI_FY 24-25'!GB10,'KPI_FY 24-25'!GX10,'KPI_FY 24-25'!HT10,'KPI_FY 24-25'!IP10)</f>
        <v>5088</v>
      </c>
      <c r="I8" s="69">
        <f t="shared" si="1"/>
        <v>0.58082191780821912</v>
      </c>
      <c r="J8" s="15">
        <f>SUM('KPI_FY 24-25'!J10,'KPI_FY 24-25'!AF10,'KPI_FY 24-25'!BB10,'KPI_FY 24-25'!BX10,'KPI_FY 24-25'!CT10,'KPI_FY 24-25'!DP10,'KPI_FY 24-25'!EL10,'KPI_FY 24-25'!FH10,'KPI_FY 24-25'!GD10,'KPI_FY 24-25'!GZ10,'KPI_FY 24-25'!HV10,'KPI_FY 24-25'!IR10)</f>
        <v>360</v>
      </c>
      <c r="K8" s="69">
        <f t="shared" si="2"/>
        <v>4.1095890410958902E-2</v>
      </c>
      <c r="L8" s="8">
        <f>SUM('KPI_FY 24-25'!L10,'KPI_FY 24-25'!AH10,'KPI_FY 24-25'!BD10,'KPI_FY 24-25'!BZ10,'KPI_FY 24-25'!CV10,'KPI_FY 24-25'!DR10,'KPI_FY 24-25'!EN10,'KPI_FY 24-25'!FJ10,'KPI_FY 24-25'!GF10,'KPI_FY 24-25'!HB10,'KPI_FY 24-25'!HX10,'KPI_FY 24-25'!IT10)</f>
        <v>70</v>
      </c>
      <c r="M8" s="6">
        <f t="shared" si="3"/>
        <v>0.21281963470319634</v>
      </c>
      <c r="N8" s="6">
        <f t="shared" si="4"/>
        <v>0.20482876712328765</v>
      </c>
      <c r="O8" s="18">
        <f t="shared" si="5"/>
        <v>0.44875813128326431</v>
      </c>
      <c r="P8" s="6">
        <f t="shared" si="6"/>
        <v>0.15964954337899542</v>
      </c>
      <c r="Q8" s="6">
        <f t="shared" si="7"/>
        <v>7.9908675799086754E-3</v>
      </c>
      <c r="R8" s="131">
        <f>SUM('KPI_FY 24-25'!T10,'KPI_FY 24-25'!AP10,'KPI_FY 24-25'!BL10,'KPI_FY 24-25'!CH10,'KPI_FY 24-25'!DD10,'KPI_FY 24-25'!DZ10,'KPI_FY 24-25'!EV10,'KPI_FY 24-25'!FR10,'KPI_FY 24-25'!GN10,'KPI_FY 24-25'!HJ10,'KPI_FY 24-25'!IF10,'KPI_FY 24-25'!JB10)</f>
        <v>139853</v>
      </c>
      <c r="S8" s="20">
        <v>100</v>
      </c>
      <c r="T8" s="132">
        <f t="shared" si="8"/>
        <v>0.99999999999999989</v>
      </c>
      <c r="U8" s="133"/>
      <c r="V8" s="64"/>
      <c r="W8" s="6"/>
      <c r="X8" s="68"/>
      <c r="Y8" s="6"/>
      <c r="Z8" s="65"/>
      <c r="AA8" s="57"/>
      <c r="AC8" s="5"/>
      <c r="AD8" s="3"/>
      <c r="AE8" s="3"/>
    </row>
    <row r="9" spans="1:32" x14ac:dyDescent="0.25">
      <c r="A9" s="17"/>
      <c r="B9" s="17">
        <v>9</v>
      </c>
      <c r="C9" s="6">
        <f>SUM('KPI_FY 24-25'!C11,'KPI_FY 24-25'!Y11,'KPI_FY 24-25'!AU11,'KPI_FY 24-25'!BQ11,'KPI_FY 24-25'!CM11,'KPI_FY 24-25'!DI11,'KPI_FY 24-25'!EE11,'KPI_FY 24-25'!FA11,'KPI_FY 24-25'!FW11,'KPI_FY 24-25'!GS11,'KPI_FY 24-25'!HO11,'KPI_FY 24-25'!IK11)</f>
        <v>6870.6</v>
      </c>
      <c r="D9" s="6">
        <f>SUM('KPI_FY 24-25'!D11,'KPI_FY 24-25'!Z11,'KPI_FY 24-25'!AV11,'KPI_FY 24-25'!BR11,'KPI_FY 24-25'!CN11,'KPI_FY 24-25'!DJ11,'KPI_FY 24-25'!EF11,'KPI_FY 24-25'!FB11,'KPI_FY 24-25'!FX11,'KPI_FY 24-25'!GT11,'KPI_FY 24-25'!HP11,'KPI_FY 24-25'!IL11)</f>
        <v>6822.9000000000005</v>
      </c>
      <c r="E9" s="6">
        <f>SUM('KPI_FY 24-25'!E11,'KPI_FY 24-25'!AA11,'KPI_FY 24-25'!AW11,'KPI_FY 24-25'!BS11,'KPI_FY 24-25'!CO11,'KPI_FY 24-25'!DK11,'KPI_FY 24-25'!EG11,'KPI_FY 24-25'!FC11,'KPI_FY 24-25'!FY11,'KPI_FY 24-25'!GU11,'KPI_FY 24-25'!HQ11,'KPI_FY 24-25'!IM11)</f>
        <v>47.7</v>
      </c>
      <c r="F9" s="8">
        <f>SUM('KPI_FY 24-25'!F11,'KPI_FY 24-25'!AB11,'KPI_FY 24-25'!AX11,'KPI_FY 24-25'!BT11,'KPI_FY 24-25'!CP11,'KPI_FY 24-25'!DL11,'KPI_FY 24-25'!EH11,'KPI_FY 24-25'!FD11,'KPI_FY 24-25'!FZ11,'KPI_FY 24-25'!GV11,'KPI_FY 24-25'!HR11,'KPI_FY 24-25'!IN11)</f>
        <v>415.09999999999991</v>
      </c>
      <c r="G9" s="69">
        <f t="shared" si="0"/>
        <v>4.7385844748858437E-2</v>
      </c>
      <c r="H9" s="8">
        <f>SUM('KPI_FY 24-25'!H11,'KPI_FY 24-25'!AD11,'KPI_FY 24-25'!AZ11,'KPI_FY 24-25'!BV11,'KPI_FY 24-25'!CR11,'KPI_FY 24-25'!DN11,'KPI_FY 24-25'!EJ11,'KPI_FY 24-25'!FF11,'KPI_FY 24-25'!GB11,'KPI_FY 24-25'!GX11,'KPI_FY 24-25'!HT11,'KPI_FY 24-25'!IP11)</f>
        <v>71.599999999999994</v>
      </c>
      <c r="I9" s="69">
        <f t="shared" si="1"/>
        <v>8.1735159817351594E-3</v>
      </c>
      <c r="J9" s="15">
        <f>SUM('KPI_FY 24-25'!J11,'KPI_FY 24-25'!AF11,'KPI_FY 24-25'!BB11,'KPI_FY 24-25'!BX11,'KPI_FY 24-25'!CT11,'KPI_FY 24-25'!DP11,'KPI_FY 24-25'!EL11,'KPI_FY 24-25'!FH11,'KPI_FY 24-25'!GD11,'KPI_FY 24-25'!GZ11,'KPI_FY 24-25'!HV11,'KPI_FY 24-25'!IR11)</f>
        <v>1402.7</v>
      </c>
      <c r="K9" s="69">
        <f t="shared" si="2"/>
        <v>0.16012557077625572</v>
      </c>
      <c r="L9" s="8">
        <f>SUM('KPI_FY 24-25'!L11,'KPI_FY 24-25'!AH11,'KPI_FY 24-25'!BD11,'KPI_FY 24-25'!BZ11,'KPI_FY 24-25'!CV11,'KPI_FY 24-25'!DR11,'KPI_FY 24-25'!EN11,'KPI_FY 24-25'!FJ11,'KPI_FY 24-25'!GF11,'KPI_FY 24-25'!HB11,'KPI_FY 24-25'!HX11,'KPI_FY 24-25'!IT11)</f>
        <v>175</v>
      </c>
      <c r="M9" s="6">
        <f t="shared" si="3"/>
        <v>0.78431506849315069</v>
      </c>
      <c r="N9" s="6">
        <f t="shared" si="4"/>
        <v>0.76433789954337905</v>
      </c>
      <c r="O9" s="18">
        <f t="shared" si="5"/>
        <v>7.9603399433427743E-2</v>
      </c>
      <c r="P9" s="6">
        <f t="shared" si="6"/>
        <v>0.57334589041095896</v>
      </c>
      <c r="Q9" s="6">
        <f t="shared" si="7"/>
        <v>1.9977168949771688E-2</v>
      </c>
      <c r="R9" s="131">
        <f>SUM('KPI_FY 24-25'!T11,'KPI_FY 24-25'!AP11,'KPI_FY 24-25'!BL11,'KPI_FY 24-25'!CH11,'KPI_FY 24-25'!DD11,'KPI_FY 24-25'!DZ11,'KPI_FY 24-25'!EV11,'KPI_FY 24-25'!FR11,'KPI_FY 24-25'!GN11,'KPI_FY 24-25'!HJ11,'KPI_FY 24-25'!IF11,'KPI_FY 24-25'!JB11)</f>
        <v>502251</v>
      </c>
      <c r="S9" s="20">
        <v>100</v>
      </c>
      <c r="T9" s="132">
        <f t="shared" si="8"/>
        <v>1.0000000000000002</v>
      </c>
      <c r="U9" s="133"/>
      <c r="V9" s="64"/>
      <c r="W9" s="6"/>
      <c r="X9" s="68"/>
      <c r="Y9" s="52"/>
      <c r="Z9" s="65"/>
      <c r="AA9" s="57"/>
      <c r="AC9" s="5"/>
      <c r="AD9" s="3"/>
      <c r="AE9" s="3"/>
    </row>
    <row r="10" spans="1:32" x14ac:dyDescent="0.25">
      <c r="A10" s="17"/>
      <c r="B10" s="32" t="s">
        <v>84</v>
      </c>
      <c r="C10" s="128">
        <f>SUM(C4:C9)</f>
        <v>25283.4</v>
      </c>
      <c r="D10" s="128">
        <f t="shared" ref="D10:F10" si="9">SUM(D4:D9)</f>
        <v>24992.400000000001</v>
      </c>
      <c r="E10" s="48">
        <f t="shared" si="9"/>
        <v>291</v>
      </c>
      <c r="F10" s="128">
        <f t="shared" si="9"/>
        <v>9204</v>
      </c>
      <c r="G10" s="118">
        <f>(G4*S4+G5*S5+G6*S6+G7*S7+G8*S8+G9*S9)/S10</f>
        <v>0.15301833618721461</v>
      </c>
      <c r="H10" s="128">
        <f t="shared" ref="H10:L10" si="10">SUM(H4:H9)</f>
        <v>15831.6</v>
      </c>
      <c r="I10" s="118">
        <f>(I4*S4+I5*S5+I6*S6+I7*S7+I8*S8+I9*S9)/S10</f>
        <v>0.28714683219178083</v>
      </c>
      <c r="J10" s="128">
        <f t="shared" ref="J10" si="11">SUM(J4:J9)</f>
        <v>2241</v>
      </c>
      <c r="K10" s="118">
        <f>(K4*S4+K5*S5+K6*S6+K7*S7+K8*S8+K9*S9)/S10</f>
        <v>4.174479166666667E-2</v>
      </c>
      <c r="L10" s="48">
        <f t="shared" si="10"/>
        <v>651.19000000000005</v>
      </c>
      <c r="M10" s="118">
        <f>(M4*S4+M5*S5+M6*S6+M7*S7+M8*S8+M9*S9)/S10</f>
        <v>0.51809003995433789</v>
      </c>
      <c r="N10" s="118">
        <f>(N4*S4+N5*S5+N6*S6+N7*S7+N8*S8+N9*S9)/S10</f>
        <v>0.50616342037671225</v>
      </c>
      <c r="O10" s="118">
        <f>(O4*S4+O5*S5+O6*S6+O7*S7+O8*S8+O9*S9)/S10</f>
        <v>0.34614074791395588</v>
      </c>
      <c r="P10" s="118">
        <f>(P4*S4+P5*S5+P6*S6+P7*S7+P8*S8+P9*S9)/S10</f>
        <v>0.40552243864155252</v>
      </c>
      <c r="Q10" s="118">
        <f>(Q4*S4+Q5*S5+Q6*S6+Q7*S7+Q8*S8+Q9*S9)/S10</f>
        <v>1.1926619577625568E-2</v>
      </c>
      <c r="R10" s="135">
        <f>SUM(R4:R9)</f>
        <v>2273521</v>
      </c>
      <c r="S10" s="136">
        <f>SUM(S4:S9)</f>
        <v>640</v>
      </c>
      <c r="V10" s="64"/>
      <c r="W10" s="8"/>
      <c r="X10" s="68"/>
      <c r="Y10" s="52"/>
    </row>
    <row r="11" spans="1:32" x14ac:dyDescent="0.25">
      <c r="A11" s="16" t="s">
        <v>40</v>
      </c>
      <c r="B11" s="17">
        <v>3</v>
      </c>
      <c r="C11" s="6">
        <f>SUM('KPI_FY 24-25'!C13,'KPI_FY 24-25'!Y13,'KPI_FY 24-25'!AU13,'KPI_FY 24-25'!BQ13,'KPI_FY 24-25'!CM13,'KPI_FY 24-25'!DI13,'KPI_FY 24-25'!EE13,'KPI_FY 24-25'!FA13,'KPI_FY 24-25'!FW13,'KPI_FY 24-25'!GS13,'KPI_FY 24-25'!HO13,'KPI_FY 24-25'!IK13)</f>
        <v>7484.32</v>
      </c>
      <c r="D11" s="6">
        <f>SUM('KPI_FY 24-25'!D13,'KPI_FY 24-25'!Z13,'KPI_FY 24-25'!AV13,'KPI_FY 24-25'!BR13,'KPI_FY 24-25'!CN13,'KPI_FY 24-25'!DJ13,'KPI_FY 24-25'!EF13,'KPI_FY 24-25'!FB13,'KPI_FY 24-25'!FX13,'KPI_FY 24-25'!GT13,'KPI_FY 24-25'!HP13,'KPI_FY 24-25'!IL13)</f>
        <v>7484.32</v>
      </c>
      <c r="E11" s="6">
        <f>SUM('KPI_FY 24-25'!E13,'KPI_FY 24-25'!AA13,'KPI_FY 24-25'!AW13,'KPI_FY 24-25'!BS13,'KPI_FY 24-25'!CO13,'KPI_FY 24-25'!DK13,'KPI_FY 24-25'!EG13,'KPI_FY 24-25'!FC13,'KPI_FY 24-25'!FY13,'KPI_FY 24-25'!GU13,'KPI_FY 24-25'!HQ13,'KPI_FY 24-25'!IM13)</f>
        <v>0</v>
      </c>
      <c r="F11" s="6">
        <f>SUM('KPI_FY 24-25'!F13,'KPI_FY 24-25'!AB13,'KPI_FY 24-25'!AX13,'KPI_FY 24-25'!BT13,'KPI_FY 24-25'!CP13,'KPI_FY 24-25'!DL13,'KPI_FY 24-25'!EH13,'KPI_FY 24-25'!FD13,'KPI_FY 24-25'!FZ13,'KPI_FY 24-25'!GV13,'KPI_FY 24-25'!HR13,'KPI_FY 24-25'!IN13)</f>
        <v>633.18000000000006</v>
      </c>
      <c r="G11" s="69">
        <f>(F11/$B$2)</f>
        <v>7.2280821917808227E-2</v>
      </c>
      <c r="H11" s="15">
        <f>SUM('KPI_FY 24-25'!H13,'KPI_FY 24-25'!AD13,'KPI_FY 24-25'!AZ13,'KPI_FY 24-25'!BV13,'KPI_FY 24-25'!CR13,'KPI_FY 24-25'!DN13,'KPI_FY 24-25'!EJ13,'KPI_FY 24-25'!FF13,'KPI_FY 24-25'!GB13,'KPI_FY 24-25'!GX13,'KPI_FY 24-25'!HT13,'KPI_FY 24-25'!IP13)</f>
        <v>0</v>
      </c>
      <c r="I11" s="69">
        <f>(H11/$B$2)</f>
        <v>0</v>
      </c>
      <c r="J11" s="6">
        <f>SUM('KPI_FY 24-25'!J13,'KPI_FY 24-25'!AF13,'KPI_FY 24-25'!BB13,'KPI_FY 24-25'!BX13,'KPI_FY 24-25'!CT13,'KPI_FY 24-25'!DP13,'KPI_FY 24-25'!EL13,'KPI_FY 24-25'!FH13,'KPI_FY 24-25'!GD13,'KPI_FY 24-25'!GZ13,'KPI_FY 24-25'!HV13,'KPI_FY 24-25'!IR13)</f>
        <v>642.5</v>
      </c>
      <c r="K11" s="6">
        <f>(J11/$B$2)</f>
        <v>7.3344748858447495E-2</v>
      </c>
      <c r="L11" s="8">
        <f>SUM('KPI_FY 24-25'!L13,'KPI_FY 24-25'!AH13,'KPI_FY 24-25'!BD13,'KPI_FY 24-25'!BZ13,'KPI_FY 24-25'!CV13,'KPI_FY 24-25'!DR13,'KPI_FY 24-25'!EN13,'KPI_FY 24-25'!FJ13,'KPI_FY 24-25'!GF13,'KPI_FY 24-25'!HB13,'KPI_FY 24-25'!HX13,'KPI_FY 24-25'!IT13)</f>
        <v>740.68000000000006</v>
      </c>
      <c r="M11" s="6">
        <f>(C11/$B$2)</f>
        <v>0.85437442922374429</v>
      </c>
      <c r="N11" s="6">
        <f>((C11-L11)/$B$2)</f>
        <v>0.76982191780821907</v>
      </c>
      <c r="O11" s="18">
        <f>IF((AND(D11=0,F11=0)),0,(F11+L11)/(D11+F11+L11))</f>
        <v>0.15509506467468487</v>
      </c>
      <c r="P11" s="6">
        <f>(R11/($B$2*S11))</f>
        <v>0.57567327287332992</v>
      </c>
      <c r="Q11" s="6">
        <f>(L11/$B$2)</f>
        <v>8.4552511415525125E-2</v>
      </c>
      <c r="R11" s="137">
        <f>SUM('KPI_FY 24-25'!T13,'KPI_FY 24-25'!AP13,'KPI_FY 24-25'!BL13,'KPI_FY 24-25'!CH13,'KPI_FY 24-25'!DD13,'KPI_FY 24-25'!DZ13,'KPI_FY 24-25'!EV13,'KPI_FY 24-25'!FR13,'KPI_FY 24-25'!GN13,'KPI_FY 24-25'!HJ13,'KPI_FY 24-25'!IF13,'KPI_FY 24-25'!JB13)</f>
        <v>1089265.94</v>
      </c>
      <c r="S11" s="20">
        <v>216</v>
      </c>
      <c r="T11" s="132">
        <f>N11+K11+I11+G11+Q11</f>
        <v>1</v>
      </c>
      <c r="AD11" s="2"/>
      <c r="AE11" s="2"/>
      <c r="AF11" s="60"/>
    </row>
    <row r="12" spans="1:32" x14ac:dyDescent="0.25">
      <c r="A12" s="16" t="s">
        <v>41</v>
      </c>
      <c r="B12" s="17">
        <v>4</v>
      </c>
      <c r="C12" s="6">
        <f>SUM('KPI_FY 24-25'!C14,'KPI_FY 24-25'!Y14,'KPI_FY 24-25'!AU14,'KPI_FY 24-25'!BQ14,'KPI_FY 24-25'!CM14,'KPI_FY 24-25'!DI14,'KPI_FY 24-25'!EE14,'KPI_FY 24-25'!FA14,'KPI_FY 24-25'!FW14,'KPI_FY 24-25'!GS14,'KPI_FY 24-25'!HO14,'KPI_FY 24-25'!IK14)</f>
        <v>0</v>
      </c>
      <c r="D12" s="6">
        <f>SUM('KPI_FY 24-25'!D14,'KPI_FY 24-25'!Z14,'KPI_FY 24-25'!AV14,'KPI_FY 24-25'!BR14,'KPI_FY 24-25'!CN14,'KPI_FY 24-25'!DJ14,'KPI_FY 24-25'!EF14,'KPI_FY 24-25'!FB14,'KPI_FY 24-25'!FX14,'KPI_FY 24-25'!GT14,'KPI_FY 24-25'!HP14,'KPI_FY 24-25'!IL14)</f>
        <v>0</v>
      </c>
      <c r="E12" s="6">
        <f>SUM('KPI_FY 24-25'!E14,'KPI_FY 24-25'!AA14,'KPI_FY 24-25'!AW14,'KPI_FY 24-25'!BS14,'KPI_FY 24-25'!CO14,'KPI_FY 24-25'!DK14,'KPI_FY 24-25'!EG14,'KPI_FY 24-25'!FC14,'KPI_FY 24-25'!FY14,'KPI_FY 24-25'!GU14,'KPI_FY 24-25'!HQ14,'KPI_FY 24-25'!IM14)</f>
        <v>0</v>
      </c>
      <c r="F12" s="6">
        <f>SUM('KPI_FY 24-25'!F14,'KPI_FY 24-25'!AB14,'KPI_FY 24-25'!AX14,'KPI_FY 24-25'!BT14,'KPI_FY 24-25'!CP14,'KPI_FY 24-25'!DL14,'KPI_FY 24-25'!EH14,'KPI_FY 24-25'!FD14,'KPI_FY 24-25'!FZ14,'KPI_FY 24-25'!GV14,'KPI_FY 24-25'!HR14,'KPI_FY 24-25'!IN14)</f>
        <v>8760</v>
      </c>
      <c r="G12" s="69">
        <f>(F12/$B$2)</f>
        <v>1</v>
      </c>
      <c r="H12" s="15">
        <f>SUM('KPI_FY 24-25'!H14,'KPI_FY 24-25'!AD14,'KPI_FY 24-25'!AZ14,'KPI_FY 24-25'!BV14,'KPI_FY 24-25'!CR14,'KPI_FY 24-25'!DN14,'KPI_FY 24-25'!EJ14,'KPI_FY 24-25'!FF14,'KPI_FY 24-25'!GB14,'KPI_FY 24-25'!GX14,'KPI_FY 24-25'!HT14,'KPI_FY 24-25'!IP14)</f>
        <v>0</v>
      </c>
      <c r="I12" s="69">
        <f>(H12/$B$2)</f>
        <v>0</v>
      </c>
      <c r="J12" s="6">
        <f>SUM('KPI_FY 24-25'!J14,'KPI_FY 24-25'!AF14,'KPI_FY 24-25'!BB14,'KPI_FY 24-25'!BX14,'KPI_FY 24-25'!CT14,'KPI_FY 24-25'!DP14,'KPI_FY 24-25'!EL14,'KPI_FY 24-25'!FH14,'KPI_FY 24-25'!GD14,'KPI_FY 24-25'!GZ14,'KPI_FY 24-25'!HV14,'KPI_FY 24-25'!IR14)</f>
        <v>0</v>
      </c>
      <c r="K12" s="6">
        <f>(J12/$B$2)</f>
        <v>0</v>
      </c>
      <c r="L12" s="8">
        <f>SUM('KPI_FY 24-25'!L14,'KPI_FY 24-25'!AH14,'KPI_FY 24-25'!BD14,'KPI_FY 24-25'!BZ14,'KPI_FY 24-25'!CV14,'KPI_FY 24-25'!DR14,'KPI_FY 24-25'!EN14,'KPI_FY 24-25'!FJ14,'KPI_FY 24-25'!GF14,'KPI_FY 24-25'!HB14,'KPI_FY 24-25'!HX14,'KPI_FY 24-25'!IT14)</f>
        <v>0</v>
      </c>
      <c r="M12" s="6">
        <f>(C12/$B$2)</f>
        <v>0</v>
      </c>
      <c r="N12" s="6">
        <f>((C12-L12)/$B$2)</f>
        <v>0</v>
      </c>
      <c r="O12" s="18">
        <f>IF((AND(D12=0,F12=0)),0,(F12+L12)/(D12+F12+L12))</f>
        <v>1</v>
      </c>
      <c r="P12" s="6">
        <f>(R12/($B$2*S12))</f>
        <v>0</v>
      </c>
      <c r="Q12" s="6">
        <f>(L12/$B$2)</f>
        <v>0</v>
      </c>
      <c r="R12" s="134">
        <f>SUM('KPI_FY 24-25'!T14,'KPI_FY 24-25'!AP14,'KPI_FY 24-25'!BL14,'KPI_FY 24-25'!CH14,'KPI_FY 24-25'!DD14,'KPI_FY 24-25'!DZ14,'KPI_FY 24-25'!EV14,'KPI_FY 24-25'!FR14,'KPI_FY 24-25'!GN14,'KPI_FY 24-25'!HJ14,'KPI_FY 24-25'!IF14,'KPI_FY 24-25'!JB14)</f>
        <v>0</v>
      </c>
      <c r="S12" s="20">
        <v>216</v>
      </c>
      <c r="T12" s="132">
        <f t="shared" ref="T12" si="12">N12+K12+I12+G12+Q12</f>
        <v>1</v>
      </c>
      <c r="W12" s="66"/>
      <c r="X12" s="66"/>
      <c r="Y12" s="74"/>
      <c r="AC12" s="9"/>
      <c r="AD12" s="66"/>
      <c r="AE12" s="66"/>
    </row>
    <row r="13" spans="1:32" x14ac:dyDescent="0.25">
      <c r="A13" s="16"/>
      <c r="B13" s="32" t="s">
        <v>84</v>
      </c>
      <c r="C13" s="128">
        <f>SUM(C11:C12)</f>
        <v>7484.32</v>
      </c>
      <c r="D13" s="128">
        <f t="shared" ref="D13:L13" si="13">SUM(D11:D12)</f>
        <v>7484.32</v>
      </c>
      <c r="E13" s="48">
        <f t="shared" ref="E13" si="14">SUM(E11:E12)</f>
        <v>0</v>
      </c>
      <c r="F13" s="128">
        <f t="shared" si="13"/>
        <v>9393.18</v>
      </c>
      <c r="G13" s="118">
        <f>(G11*S11+G12*S12)/S13</f>
        <v>0.53614041095890408</v>
      </c>
      <c r="H13" s="48">
        <f t="shared" si="13"/>
        <v>0</v>
      </c>
      <c r="I13" s="118">
        <f>(I11*S11+I12*S12)/S13</f>
        <v>0</v>
      </c>
      <c r="J13" s="48">
        <f t="shared" ref="J13" si="15">SUM(J11:J12)</f>
        <v>642.5</v>
      </c>
      <c r="K13" s="118">
        <f>(K11*S11+K12*S12)/S13</f>
        <v>3.6672374429223747E-2</v>
      </c>
      <c r="L13" s="48">
        <f t="shared" si="13"/>
        <v>740.68000000000006</v>
      </c>
      <c r="M13" s="118">
        <f>(M11*S11+M12*S12)/S13</f>
        <v>0.42718721461187215</v>
      </c>
      <c r="N13" s="118">
        <f>(N11*S11+N12*S12)/S13</f>
        <v>0.38491095890410953</v>
      </c>
      <c r="O13" s="118">
        <f>(O11*S11+O12*S12)/S13</f>
        <v>0.57754753233734235</v>
      </c>
      <c r="P13" s="118">
        <f>(P11*S11+P12*S12)/S13</f>
        <v>0.28783663643666496</v>
      </c>
      <c r="Q13" s="118">
        <f>(Q11*S11+Q12*S12)/S13</f>
        <v>4.2276255707762563E-2</v>
      </c>
      <c r="R13" s="139">
        <f>SUM(R11:R12)</f>
        <v>1089265.94</v>
      </c>
      <c r="S13" s="136">
        <f>SUM(S11:S12)</f>
        <v>432</v>
      </c>
      <c r="V13" s="64"/>
      <c r="W13" s="8"/>
      <c r="X13" s="6"/>
      <c r="Y13" s="6"/>
      <c r="AC13" s="64"/>
      <c r="AD13" s="8"/>
      <c r="AE13" s="6"/>
    </row>
    <row r="14" spans="1:32" x14ac:dyDescent="0.25">
      <c r="A14" s="16" t="s">
        <v>42</v>
      </c>
      <c r="B14" s="17">
        <v>5</v>
      </c>
      <c r="C14" s="6">
        <f>SUM('KPI_FY 24-25'!C16,'KPI_FY 24-25'!Y16,'KPI_FY 24-25'!AU16,'KPI_FY 24-25'!BQ16,'KPI_FY 24-25'!CM16,'KPI_FY 24-25'!DI16,'KPI_FY 24-25'!EE16,'KPI_FY 24-25'!FA16,'KPI_FY 24-25'!FW16,'KPI_FY 24-25'!GS16,'KPI_FY 24-25'!HO16,'KPI_FY 24-25'!IK16)</f>
        <v>6637.0700000000015</v>
      </c>
      <c r="D14" s="6">
        <f>SUM('KPI_FY 24-25'!D16,'KPI_FY 24-25'!Z16,'KPI_FY 24-25'!AV16,'KPI_FY 24-25'!BR16,'KPI_FY 24-25'!CN16,'KPI_FY 24-25'!DJ16,'KPI_FY 24-25'!EF16,'KPI_FY 24-25'!FB16,'KPI_FY 24-25'!FX16,'KPI_FY 24-25'!GT16,'KPI_FY 24-25'!HP16,'KPI_FY 24-25'!IL16)</f>
        <v>6637.0700000000015</v>
      </c>
      <c r="E14" s="6">
        <f>SUM('KPI_FY 24-25'!E16,'KPI_FY 24-25'!AA16,'KPI_FY 24-25'!AW16,'KPI_FY 24-25'!BS16,'KPI_FY 24-25'!CO16,'KPI_FY 24-25'!DK16,'KPI_FY 24-25'!EG16,'KPI_FY 24-25'!FC16,'KPI_FY 24-25'!FY16,'KPI_FY 24-25'!GU16,'KPI_FY 24-25'!HQ16,'KPI_FY 24-25'!IM16)</f>
        <v>0</v>
      </c>
      <c r="F14" s="6">
        <f>SUM('KPI_FY 24-25'!F16,'KPI_FY 24-25'!AB16,'KPI_FY 24-25'!AX16,'KPI_FY 24-25'!BT16,'KPI_FY 24-25'!CP16,'KPI_FY 24-25'!DL16,'KPI_FY 24-25'!EH16,'KPI_FY 24-25'!FD16,'KPI_FY 24-25'!FZ16,'KPI_FY 24-25'!GV16,'KPI_FY 24-25'!HR16,'KPI_FY 24-25'!IN16)</f>
        <v>606.5</v>
      </c>
      <c r="G14" s="69">
        <f>(F14/$B$2)</f>
        <v>6.9235159817351594E-2</v>
      </c>
      <c r="H14" s="8">
        <f>SUM('KPI_FY 24-25'!H16,'KPI_FY 24-25'!AD16,'KPI_FY 24-25'!AZ16,'KPI_FY 24-25'!BV16,'KPI_FY 24-25'!CR16,'KPI_FY 24-25'!DN16,'KPI_FY 24-25'!EJ16,'KPI_FY 24-25'!FF16,'KPI_FY 24-25'!GB16,'KPI_FY 24-25'!GX16,'KPI_FY 24-25'!HT16,'KPI_FY 24-25'!IP16)</f>
        <v>1516.43</v>
      </c>
      <c r="I14" s="69">
        <f>(H14/$B$2)</f>
        <v>0.17310844748858448</v>
      </c>
      <c r="J14" s="69">
        <f>SUM('KPI_FY 24-25'!J16,'KPI_FY 24-25'!AF16,'KPI_FY 24-25'!BB16,'KPI_FY 24-25'!BX16,'KPI_FY 24-25'!CT16,'KPI_FY 24-25'!DP16,'KPI_FY 24-25'!EL16,'KPI_FY 24-25'!FH16,'KPI_FY 24-25'!GD16,'KPI_FY 24-25'!GZ16,'KPI_FY 24-25'!HV16,'KPI_FY 24-25'!IR16)</f>
        <v>0</v>
      </c>
      <c r="K14" s="69">
        <f>(J14/$B$2)</f>
        <v>0</v>
      </c>
      <c r="L14" s="8">
        <f>SUM('KPI_FY 24-25'!L16,'KPI_FY 24-25'!AH16,'KPI_FY 24-25'!BD16,'KPI_FY 24-25'!BZ16,'KPI_FY 24-25'!CV16,'KPI_FY 24-25'!DR16,'KPI_FY 24-25'!EN16,'KPI_FY 24-25'!FJ16,'KPI_FY 24-25'!GF16,'KPI_FY 24-25'!HB16,'KPI_FY 24-25'!HX16,'KPI_FY 24-25'!IT16)</f>
        <v>2285.02</v>
      </c>
      <c r="M14" s="6">
        <f>(C14/$B$2)</f>
        <v>0.75765639269406415</v>
      </c>
      <c r="N14" s="6">
        <f>((C14-L14)/$B$2)</f>
        <v>0.49680936073059373</v>
      </c>
      <c r="O14" s="18">
        <f>IF((AND(D14=0,F14=0)),0,(F14+L14)/(D14+F14+L14))</f>
        <v>0.30345727961849545</v>
      </c>
      <c r="P14" s="6">
        <f>(R14/($B$2*S14))</f>
        <v>0.43301871032408956</v>
      </c>
      <c r="Q14" s="6">
        <f>(L14/$B$2)</f>
        <v>0.26084703196347031</v>
      </c>
      <c r="R14" s="137">
        <f>SUM('KPI_FY 24-25'!T16,'KPI_FY 24-25'!AP16,'KPI_FY 24-25'!BL16,'KPI_FY 24-25'!CH16,'KPI_FY 24-25'!DD16,'KPI_FY 24-25'!DZ16,'KPI_FY 24-25'!EV16,'KPI_FY 24-25'!FR16,'KPI_FY 24-25'!GN16,'KPI_FY 24-25'!HJ16,'KPI_FY 24-25'!IF16,'KPI_FY 24-25'!JB16)</f>
        <v>1555230</v>
      </c>
      <c r="S14" s="8">
        <v>410</v>
      </c>
      <c r="T14" s="132">
        <f>N14+K14+I14+G14+Q14</f>
        <v>1.0000000000000002</v>
      </c>
      <c r="V14" s="64"/>
      <c r="W14" s="8"/>
      <c r="X14" s="6"/>
      <c r="Y14" s="6"/>
      <c r="AC14" s="64"/>
      <c r="AD14" s="8"/>
      <c r="AE14" s="6"/>
    </row>
    <row r="15" spans="1:32" x14ac:dyDescent="0.25">
      <c r="A15" s="16" t="s">
        <v>43</v>
      </c>
      <c r="B15" s="17">
        <v>6</v>
      </c>
      <c r="C15" s="6">
        <f>SUM('KPI_FY 24-25'!C17,'KPI_FY 24-25'!Y17,'KPI_FY 24-25'!AU17,'KPI_FY 24-25'!BQ17,'KPI_FY 24-25'!CM17,'KPI_FY 24-25'!DI17,'KPI_FY 24-25'!EE17,'KPI_FY 24-25'!FA17,'KPI_FY 24-25'!FW17,'KPI_FY 24-25'!GS17,'KPI_FY 24-25'!HO17,'KPI_FY 24-25'!IK17)</f>
        <v>8501.08</v>
      </c>
      <c r="D15" s="6">
        <f>SUM('KPI_FY 24-25'!D17,'KPI_FY 24-25'!Z17,'KPI_FY 24-25'!AV17,'KPI_FY 24-25'!BR17,'KPI_FY 24-25'!CN17,'KPI_FY 24-25'!DJ17,'KPI_FY 24-25'!EF17,'KPI_FY 24-25'!FB17,'KPI_FY 24-25'!FX17,'KPI_FY 24-25'!GT17,'KPI_FY 24-25'!HP17,'KPI_FY 24-25'!IL17)</f>
        <v>8501.08</v>
      </c>
      <c r="E15" s="6">
        <f>SUM('KPI_FY 24-25'!E17,'KPI_FY 24-25'!AA17,'KPI_FY 24-25'!AW17,'KPI_FY 24-25'!BS17,'KPI_FY 24-25'!CO17,'KPI_FY 24-25'!DK17,'KPI_FY 24-25'!EG17,'KPI_FY 24-25'!FC17,'KPI_FY 24-25'!FY17,'KPI_FY 24-25'!GU17,'KPI_FY 24-25'!HQ17,'KPI_FY 24-25'!IM17)</f>
        <v>0</v>
      </c>
      <c r="F15" s="6">
        <f>SUM('KPI_FY 24-25'!F17,'KPI_FY 24-25'!AB17,'KPI_FY 24-25'!AX17,'KPI_FY 24-25'!BT17,'KPI_FY 24-25'!CP17,'KPI_FY 24-25'!DL17,'KPI_FY 24-25'!EH17,'KPI_FY 24-25'!FD17,'KPI_FY 24-25'!FZ17,'KPI_FY 24-25'!GV17,'KPI_FY 24-25'!HR17,'KPI_FY 24-25'!IN17)</f>
        <v>258.91999999999996</v>
      </c>
      <c r="G15" s="69">
        <f>(F15/$B$2)</f>
        <v>2.9557077625570773E-2</v>
      </c>
      <c r="H15" s="8">
        <f>SUM('KPI_FY 24-25'!H17,'KPI_FY 24-25'!AD17,'KPI_FY 24-25'!AZ17,'KPI_FY 24-25'!BV17,'KPI_FY 24-25'!CR17,'KPI_FY 24-25'!DN17,'KPI_FY 24-25'!EJ17,'KPI_FY 24-25'!FF17,'KPI_FY 24-25'!GB17,'KPI_FY 24-25'!GX17,'KPI_FY 24-25'!HT17,'KPI_FY 24-25'!IP17)</f>
        <v>0</v>
      </c>
      <c r="I15" s="69">
        <f>(H15/$B$2)</f>
        <v>0</v>
      </c>
      <c r="J15" s="69">
        <f>SUM('KPI_FY 24-25'!J17,'KPI_FY 24-25'!AF17,'KPI_FY 24-25'!BB17,'KPI_FY 24-25'!BX17,'KPI_FY 24-25'!CT17,'KPI_FY 24-25'!DP17,'KPI_FY 24-25'!EL17,'KPI_FY 24-25'!FH17,'KPI_FY 24-25'!GD17,'KPI_FY 24-25'!GZ17,'KPI_FY 24-25'!HV17,'KPI_FY 24-25'!IR17)</f>
        <v>0</v>
      </c>
      <c r="K15" s="69">
        <f>(J15/$B$2)</f>
        <v>0</v>
      </c>
      <c r="L15" s="6">
        <f>SUM('KPI_FY 24-25'!L17,'KPI_FY 24-25'!AH17,'KPI_FY 24-25'!BD17,'KPI_FY 24-25'!BZ17,'KPI_FY 24-25'!CV17,'KPI_FY 24-25'!DR17,'KPI_FY 24-25'!EN17,'KPI_FY 24-25'!FJ17,'KPI_FY 24-25'!GF17,'KPI_FY 24-25'!HB17,'KPI_FY 24-25'!HX17,'KPI_FY 24-25'!IT17)</f>
        <v>1711.6100000000001</v>
      </c>
      <c r="M15" s="6">
        <f>(C15/$B$2)</f>
        <v>0.9704429223744292</v>
      </c>
      <c r="N15" s="6">
        <f>((C15-L15)/$B$2)</f>
        <v>0.77505365296803641</v>
      </c>
      <c r="O15" s="18">
        <f>IF((AND(D15=0,F15=0)),0,(F15+L15)/(D15+F15+L15))</f>
        <v>0.18817832214912511</v>
      </c>
      <c r="P15" s="6">
        <f>(R15/($B$2*S15))</f>
        <v>0.64127686824813457</v>
      </c>
      <c r="Q15" s="6">
        <f>(L15/$B$2)</f>
        <v>0.1953892694063927</v>
      </c>
      <c r="R15" s="137">
        <f>SUM('KPI_FY 24-25'!T17,'KPI_FY 24-25'!AP17,'KPI_FY 24-25'!BL17,'KPI_FY 24-25'!CH17,'KPI_FY 24-25'!DD17,'KPI_FY 24-25'!DZ17,'KPI_FY 24-25'!EV17,'KPI_FY 24-25'!FR17,'KPI_FY 24-25'!GN17,'KPI_FY 24-25'!HJ17,'KPI_FY 24-25'!IF17,'KPI_FY 24-25'!JB17)</f>
        <v>2303210</v>
      </c>
      <c r="S15" s="8">
        <v>410</v>
      </c>
      <c r="T15" s="132">
        <f t="shared" ref="T15" si="16">N15+K15+I15+G15+Q15</f>
        <v>0.99999999999999989</v>
      </c>
      <c r="V15" s="64"/>
      <c r="W15" s="8"/>
      <c r="X15" s="6"/>
      <c r="Y15" s="6"/>
    </row>
    <row r="16" spans="1:32" x14ac:dyDescent="0.25">
      <c r="A16" s="16"/>
      <c r="B16" s="32" t="s">
        <v>84</v>
      </c>
      <c r="C16" s="128">
        <f>SUM(C14:C15)</f>
        <v>15138.150000000001</v>
      </c>
      <c r="D16" s="128">
        <f t="shared" ref="D16:L16" si="17">SUM(D14:D15)</f>
        <v>15138.150000000001</v>
      </c>
      <c r="E16" s="48">
        <f t="shared" ref="E16" si="18">SUM(E14:E15)</f>
        <v>0</v>
      </c>
      <c r="F16" s="128">
        <f t="shared" si="17"/>
        <v>865.42</v>
      </c>
      <c r="G16" s="118">
        <f>(G14*S14+G15*S15)/S16</f>
        <v>4.9396118721461185E-2</v>
      </c>
      <c r="H16" s="128">
        <f t="shared" si="17"/>
        <v>1516.43</v>
      </c>
      <c r="I16" s="118">
        <f>(I14*S14+I15*S15)/S16</f>
        <v>8.6554223744292239E-2</v>
      </c>
      <c r="J16" s="118">
        <f t="shared" ref="J16" si="19">SUM(J14:J15)</f>
        <v>0</v>
      </c>
      <c r="K16" s="118">
        <f>(K14*S14+K15*S15)/S16</f>
        <v>0</v>
      </c>
      <c r="L16" s="128">
        <f t="shared" si="17"/>
        <v>3996.63</v>
      </c>
      <c r="M16" s="118">
        <f>(M14*S14+M15*S15)/S16</f>
        <v>0.86404965753424667</v>
      </c>
      <c r="N16" s="118">
        <f>(N14*S14+N15*S15)/S16</f>
        <v>0.6359315068493151</v>
      </c>
      <c r="O16" s="118">
        <f>(O14*S14+O15*S15)/S16</f>
        <v>0.24581780088381031</v>
      </c>
      <c r="P16" s="118">
        <f>(P14*S14+P15*S15)/S16</f>
        <v>0.53714778928611207</v>
      </c>
      <c r="Q16" s="118">
        <f>(Q14*S14+Q15*S15)/S16</f>
        <v>0.22811815068493152</v>
      </c>
      <c r="R16" s="139">
        <f>SUM(R14:R15)</f>
        <v>3858440</v>
      </c>
      <c r="S16" s="48">
        <f>SUM(S14:S15)</f>
        <v>820</v>
      </c>
      <c r="V16" s="64"/>
      <c r="W16" s="8"/>
      <c r="X16" s="6"/>
      <c r="Y16" s="6"/>
      <c r="AC16" s="5"/>
      <c r="AD16" s="56"/>
      <c r="AE16" s="3"/>
    </row>
    <row r="17" spans="1:31" x14ac:dyDescent="0.25">
      <c r="A17" s="16" t="s">
        <v>44</v>
      </c>
      <c r="B17" s="17">
        <v>1</v>
      </c>
      <c r="C17" s="6">
        <f>SUM('KPI_FY 24-25'!C19,'KPI_FY 24-25'!Y19,'KPI_FY 24-25'!AU19,'KPI_FY 24-25'!BQ19,'KPI_FY 24-25'!CM19,'KPI_FY 24-25'!DI19,'KPI_FY 24-25'!EE19,'KPI_FY 24-25'!FA19,'KPI_FY 24-25'!FW19,'KPI_FY 24-25'!GS19,'KPI_FY 24-25'!HO19,'KPI_FY 24-25'!IK19)</f>
        <v>3481.4300000000003</v>
      </c>
      <c r="D17" s="6">
        <f>SUM('KPI_FY 24-25'!D19,'KPI_FY 24-25'!Z19,'KPI_FY 24-25'!AV19,'KPI_FY 24-25'!BR19,'KPI_FY 24-25'!CN19,'KPI_FY 24-25'!DJ19,'KPI_FY 24-25'!EF19,'KPI_FY 24-25'!FB19,'KPI_FY 24-25'!FX19,'KPI_FY 24-25'!GT19,'KPI_FY 24-25'!HP19,'KPI_FY 24-25'!IL19)</f>
        <v>3481.4300000000003</v>
      </c>
      <c r="E17" s="6">
        <f>SUM('KPI_FY 24-25'!E19,'KPI_FY 24-25'!AA19,'KPI_FY 24-25'!AW19,'KPI_FY 24-25'!BS19,'KPI_FY 24-25'!CO19,'KPI_FY 24-25'!DK19,'KPI_FY 24-25'!EG19,'KPI_FY 24-25'!FC19,'KPI_FY 24-25'!FY19,'KPI_FY 24-25'!GU19,'KPI_FY 24-25'!HQ19,'KPI_FY 24-25'!IM19)</f>
        <v>0</v>
      </c>
      <c r="F17" s="6">
        <f>SUM('KPI_FY 24-25'!F19,'KPI_FY 24-25'!AB19,'KPI_FY 24-25'!AX19,'KPI_FY 24-25'!BT19,'KPI_FY 24-25'!CP19,'KPI_FY 24-25'!DL19,'KPI_FY 24-25'!EH19,'KPI_FY 24-25'!FD19,'KPI_FY 24-25'!FZ19,'KPI_FY 24-25'!GV19,'KPI_FY 24-25'!HR19,'KPI_FY 24-25'!IN19)</f>
        <v>4444.6000000000004</v>
      </c>
      <c r="G17" s="68">
        <f>(F17/$B$2)</f>
        <v>0.50737442922374432</v>
      </c>
      <c r="H17" s="8">
        <f>SUM('KPI_FY 24-25'!H19,'KPI_FY 24-25'!AD19,'KPI_FY 24-25'!AZ19,'KPI_FY 24-25'!BV19,'KPI_FY 24-25'!CR19,'KPI_FY 24-25'!DN19,'KPI_FY 24-25'!EJ19,'KPI_FY 24-25'!FF19,'KPI_FY 24-25'!GB19,'KPI_FY 24-25'!GX19,'KPI_FY 24-25'!HT19,'KPI_FY 24-25'!IP19)</f>
        <v>833.97</v>
      </c>
      <c r="I17" s="69">
        <f>(H17/$B$2)</f>
        <v>9.5202054794520555E-2</v>
      </c>
      <c r="J17" s="69">
        <f>SUM('KPI_FY 24-25'!J19,'KPI_FY 24-25'!AF19,'KPI_FY 24-25'!BB19,'KPI_FY 24-25'!BX19,'KPI_FY 24-25'!CT19,'KPI_FY 24-25'!DP19,'KPI_FY 24-25'!EL19,'KPI_FY 24-25'!FH19,'KPI_FY 24-25'!GD19,'KPI_FY 24-25'!GZ19,'KPI_FY 24-25'!HV19,'KPI_FY 24-25'!IR19)</f>
        <v>0</v>
      </c>
      <c r="K17" s="69">
        <f>(J17/$B$2)</f>
        <v>0</v>
      </c>
      <c r="L17" s="8">
        <f>SUM('KPI_FY 24-25'!L19,'KPI_FY 24-25'!AH19,'KPI_FY 24-25'!BD19,'KPI_FY 24-25'!BZ19,'KPI_FY 24-25'!CV19,'KPI_FY 24-25'!DR19,'KPI_FY 24-25'!EN19,'KPI_FY 24-25'!FJ19,'KPI_FY 24-25'!GF19,'KPI_FY 24-25'!HB19,'KPI_FY 24-25'!HX19,'KPI_FY 24-25'!IT19)</f>
        <v>1089.68</v>
      </c>
      <c r="M17" s="6">
        <f>(C17/$B$2)</f>
        <v>0.3974235159817352</v>
      </c>
      <c r="N17" s="6">
        <f>((C17-L17)/$B$2)</f>
        <v>0.2730308219178082</v>
      </c>
      <c r="O17" s="18">
        <f>IF((AND(D17=0,F17=0)),0,(F17+L17)/(D17+F17+L17))</f>
        <v>0.61384849335215974</v>
      </c>
      <c r="P17" s="6">
        <f>(R17/($B$2*S17))</f>
        <v>0.18691273465246069</v>
      </c>
      <c r="Q17" s="6">
        <f>(L17/$B$2)</f>
        <v>0.12439269406392695</v>
      </c>
      <c r="R17" s="137">
        <f>SUM('KPI_FY 24-25'!T19,'KPI_FY 24-25'!AP19,'KPI_FY 24-25'!BL19,'KPI_FY 24-25'!CH19,'KPI_FY 24-25'!DD19,'KPI_FY 24-25'!DZ19,'KPI_FY 24-25'!EV19,'KPI_FY 24-25'!FR19,'KPI_FY 24-25'!GN19,'KPI_FY 24-25'!HJ19,'KPI_FY 24-25'!IF19,'KPI_FY 24-25'!JB19)</f>
        <v>736810</v>
      </c>
      <c r="S17" s="8">
        <v>450</v>
      </c>
      <c r="T17" s="132">
        <f>N17+K17+I17+G17+Q17</f>
        <v>1</v>
      </c>
      <c r="V17" s="64"/>
      <c r="W17" s="8"/>
      <c r="X17" s="6"/>
      <c r="Y17" s="6"/>
      <c r="AC17" s="5"/>
      <c r="AD17" s="56"/>
      <c r="AE17" s="3"/>
    </row>
    <row r="18" spans="1:31" x14ac:dyDescent="0.25">
      <c r="A18" s="8"/>
      <c r="B18" s="17">
        <v>2</v>
      </c>
      <c r="C18" s="6">
        <f>SUM('KPI_FY 24-25'!C20,'KPI_FY 24-25'!Y20,'KPI_FY 24-25'!AU20,'KPI_FY 24-25'!BQ20,'KPI_FY 24-25'!CM20,'KPI_FY 24-25'!DI20,'KPI_FY 24-25'!EE20,'KPI_FY 24-25'!FA20,'KPI_FY 24-25'!FW20,'KPI_FY 24-25'!GS20,'KPI_FY 24-25'!HO20,'KPI_FY 24-25'!IK20)</f>
        <v>1038.55</v>
      </c>
      <c r="D18" s="6">
        <f>SUM('KPI_FY 24-25'!D20,'KPI_FY 24-25'!Z20,'KPI_FY 24-25'!AV20,'KPI_FY 24-25'!BR20,'KPI_FY 24-25'!CN20,'KPI_FY 24-25'!DJ20,'KPI_FY 24-25'!EF20,'KPI_FY 24-25'!FB20,'KPI_FY 24-25'!FX20,'KPI_FY 24-25'!GT20,'KPI_FY 24-25'!HP20,'KPI_FY 24-25'!IL20)</f>
        <v>1038.55</v>
      </c>
      <c r="E18" s="6">
        <f>SUM('KPI_FY 24-25'!E20,'KPI_FY 24-25'!AA20,'KPI_FY 24-25'!AW20,'KPI_FY 24-25'!BS20,'KPI_FY 24-25'!CO20,'KPI_FY 24-25'!DK20,'KPI_FY 24-25'!EG20,'KPI_FY 24-25'!FC20,'KPI_FY 24-25'!FY20,'KPI_FY 24-25'!GU20,'KPI_FY 24-25'!HQ20,'KPI_FY 24-25'!IM20)</f>
        <v>0</v>
      </c>
      <c r="F18" s="6">
        <f>SUM('KPI_FY 24-25'!F20,'KPI_FY 24-25'!AB20,'KPI_FY 24-25'!AX20,'KPI_FY 24-25'!BT20,'KPI_FY 24-25'!CP20,'KPI_FY 24-25'!DL20,'KPI_FY 24-25'!EH20,'KPI_FY 24-25'!FD20,'KPI_FY 24-25'!FZ20,'KPI_FY 24-25'!GV20,'KPI_FY 24-25'!HR20,'KPI_FY 24-25'!IN20)</f>
        <v>4776.2000000000007</v>
      </c>
      <c r="G18" s="68">
        <f>(F18/$B$2)</f>
        <v>0.54522831050228315</v>
      </c>
      <c r="H18" s="8">
        <f>SUM('KPI_FY 24-25'!H20,'KPI_FY 24-25'!AD20,'KPI_FY 24-25'!AZ20,'KPI_FY 24-25'!BV20,'KPI_FY 24-25'!CR20,'KPI_FY 24-25'!DN20,'KPI_FY 24-25'!EJ20,'KPI_FY 24-25'!FF20,'KPI_FY 24-25'!GB20,'KPI_FY 24-25'!GX20,'KPI_FY 24-25'!HT20,'KPI_FY 24-25'!IP20)</f>
        <v>2945.25</v>
      </c>
      <c r="I18" s="69">
        <f>(H18/$B$2)</f>
        <v>0.33621575342465754</v>
      </c>
      <c r="J18" s="69">
        <f>SUM('KPI_FY 24-25'!J20,'KPI_FY 24-25'!AF20,'KPI_FY 24-25'!BB20,'KPI_FY 24-25'!BX20,'KPI_FY 24-25'!CT20,'KPI_FY 24-25'!DP20,'KPI_FY 24-25'!EL20,'KPI_FY 24-25'!FH20,'KPI_FY 24-25'!GD20,'KPI_FY 24-25'!GZ20,'KPI_FY 24-25'!HV20,'KPI_FY 24-25'!IR20)</f>
        <v>0</v>
      </c>
      <c r="K18" s="69">
        <f>(J18/$B$2)</f>
        <v>0</v>
      </c>
      <c r="L18" s="8">
        <f>SUM('KPI_FY 24-25'!L20,'KPI_FY 24-25'!AH20,'KPI_FY 24-25'!BD20,'KPI_FY 24-25'!BZ20,'KPI_FY 24-25'!CV20,'KPI_FY 24-25'!DR20,'KPI_FY 24-25'!EN20,'KPI_FY 24-25'!FJ20,'KPI_FY 24-25'!GF20,'KPI_FY 24-25'!HB20,'KPI_FY 24-25'!HX20,'KPI_FY 24-25'!IT20)</f>
        <v>262.66999999999996</v>
      </c>
      <c r="M18" s="6">
        <f>(C18/$B$2)</f>
        <v>0.11855593607305935</v>
      </c>
      <c r="N18" s="6">
        <f>((C18-L18)/$B$2)</f>
        <v>8.8570776255707764E-2</v>
      </c>
      <c r="O18" s="18">
        <f>IF((AND(D18=0,F18=0)),0,(F18+L18)/(D18+F18+L18))</f>
        <v>0.82911334085845634</v>
      </c>
      <c r="P18" s="6">
        <f>(R18/($B$2*S18))</f>
        <v>5.8346017250126836E-2</v>
      </c>
      <c r="Q18" s="6">
        <f>(L18/$B$2)</f>
        <v>2.9985159817351593E-2</v>
      </c>
      <c r="R18" s="137">
        <f>SUM('KPI_FY 24-25'!T20,'KPI_FY 24-25'!AP20,'KPI_FY 24-25'!BL20,'KPI_FY 24-25'!CH20,'KPI_FY 24-25'!DD20,'KPI_FY 24-25'!DZ20,'KPI_FY 24-25'!EV20,'KPI_FY 24-25'!FR20,'KPI_FY 24-25'!GN20,'KPI_FY 24-25'!HJ20,'KPI_FY 24-25'!IF20,'KPI_FY 24-25'!JB20)</f>
        <v>230000</v>
      </c>
      <c r="S18" s="8">
        <v>450</v>
      </c>
      <c r="T18" s="132">
        <f t="shared" ref="T18" si="20">N18+K18+I18+G18+Q18</f>
        <v>1</v>
      </c>
      <c r="V18" s="64"/>
      <c r="W18" s="8"/>
      <c r="X18" s="6"/>
      <c r="Y18" s="52"/>
    </row>
    <row r="19" spans="1:31" x14ac:dyDescent="0.25">
      <c r="A19" s="8"/>
      <c r="B19" s="32" t="s">
        <v>84</v>
      </c>
      <c r="C19" s="128">
        <f>SUM(C17:C18)</f>
        <v>4519.9800000000005</v>
      </c>
      <c r="D19" s="128">
        <f t="shared" ref="D19:E19" si="21">SUM(D17:D18)</f>
        <v>4519.9800000000005</v>
      </c>
      <c r="E19" s="48">
        <f t="shared" si="21"/>
        <v>0</v>
      </c>
      <c r="F19" s="128">
        <f t="shared" ref="F19" si="22">SUM(F17:F18)</f>
        <v>9220.8000000000011</v>
      </c>
      <c r="G19" s="160">
        <f>(G17*S17+G18*S18)/S19</f>
        <v>0.52630136986301368</v>
      </c>
      <c r="H19" s="128">
        <f t="shared" ref="H19:J19" si="23">SUM(H17:H18)</f>
        <v>3779.2200000000003</v>
      </c>
      <c r="I19" s="118">
        <f>(I17*S17+I18*S18)/S19</f>
        <v>0.21570890410958904</v>
      </c>
      <c r="J19" s="118">
        <f t="shared" si="23"/>
        <v>0</v>
      </c>
      <c r="K19" s="118">
        <f>(K17*S17+K18*S18)/S19</f>
        <v>0</v>
      </c>
      <c r="L19" s="128">
        <f t="shared" ref="L19" si="24">SUM(L17:L18)</f>
        <v>1352.35</v>
      </c>
      <c r="M19" s="118">
        <f>(M17*S17+M18*S18)/S19</f>
        <v>0.25798972602739728</v>
      </c>
      <c r="N19" s="118">
        <f>(N17*S17+N18*S18)/S19</f>
        <v>0.180800799086758</v>
      </c>
      <c r="O19" s="118">
        <f>(O17*S17+O18*S18)/S19</f>
        <v>0.72148091710530804</v>
      </c>
      <c r="P19" s="118">
        <f>(P17*S17+P18*S18)/S19</f>
        <v>0.12262937595129376</v>
      </c>
      <c r="Q19" s="118">
        <f>(Q17*S17+Q18*S18)/S19</f>
        <v>7.718892694063928E-2</v>
      </c>
      <c r="R19" s="139">
        <f>SUM(R17:R18)</f>
        <v>966810</v>
      </c>
      <c r="S19" s="48">
        <f>SUM(S17:S18)</f>
        <v>900</v>
      </c>
      <c r="V19" s="64"/>
    </row>
    <row r="20" spans="1:31" x14ac:dyDescent="0.25">
      <c r="A20" s="8"/>
      <c r="B20" s="141" t="s">
        <v>85</v>
      </c>
      <c r="C20" s="142">
        <f>SUM(C19,C16,C13,C10)</f>
        <v>52425.850000000006</v>
      </c>
      <c r="D20" s="142">
        <f t="shared" ref="D20:L20" si="25">SUM(D19,D16,D13,D10)</f>
        <v>52134.850000000006</v>
      </c>
      <c r="E20" s="142">
        <f t="shared" si="25"/>
        <v>291</v>
      </c>
      <c r="F20" s="142">
        <f t="shared" si="25"/>
        <v>28683.4</v>
      </c>
      <c r="G20" s="143">
        <f>(G10*$S$10+G13*$S$13+G16*$S$16+G19*$S$19)/$S$20</f>
        <v>0.30219213571718279</v>
      </c>
      <c r="H20" s="142">
        <f t="shared" si="25"/>
        <v>21127.25</v>
      </c>
      <c r="I20" s="143">
        <f>(I10*$S$10+I13*$S$13+I16*$S$16+I19*$S$19)/$S$20</f>
        <v>0.16077594905862805</v>
      </c>
      <c r="J20" s="142">
        <f t="shared" si="25"/>
        <v>2883.5</v>
      </c>
      <c r="K20" s="143">
        <f>(K10*$S$10+K13*$S$13+K16*$S$16+K19*$S$19)/$S$20</f>
        <v>1.524324227080635E-2</v>
      </c>
      <c r="L20" s="142">
        <f t="shared" si="25"/>
        <v>6740.85</v>
      </c>
      <c r="M20" s="143">
        <f>(M10*$S$10+M13*$S$13+M16*$S$16+M19*$S$19)/$S$20</f>
        <v>0.52178867295338283</v>
      </c>
      <c r="N20" s="143">
        <f t="shared" ref="N20:Q20" si="26">(N10*$S$10+N13*$S$13+N16*$S$16+N19*$S$19)/$S$20</f>
        <v>0.42063419702084232</v>
      </c>
      <c r="O20" s="143">
        <f t="shared" si="26"/>
        <v>0.47347207548501624</v>
      </c>
      <c r="P20" s="143">
        <f t="shared" si="26"/>
        <v>0.33478059213539008</v>
      </c>
      <c r="Q20" s="143">
        <f t="shared" si="26"/>
        <v>0.10115447593254047</v>
      </c>
      <c r="R20" s="144"/>
      <c r="S20" s="142">
        <f t="shared" ref="S20" si="27">SUM(S19,S16,S13,S10)</f>
        <v>2792</v>
      </c>
      <c r="V20" s="64"/>
    </row>
    <row r="21" spans="1:31" x14ac:dyDescent="0.25">
      <c r="A21" s="74" t="s">
        <v>45</v>
      </c>
      <c r="B21" s="8" t="s">
        <v>46</v>
      </c>
      <c r="C21" s="6">
        <v>3271.6</v>
      </c>
      <c r="D21" s="6">
        <f>SUM('KPI_FY 24-25'!D23,'KPI_FY 24-25'!Z23,'KPI_FY 24-25'!AV23,'KPI_FY 24-25'!BR23,'KPI_FY 24-25'!CN23,'KPI_FY 24-25'!DJ23,'KPI_FY 24-25'!EF23,'KPI_FY 24-25'!FB23,'KPI_FY 24-25'!FX23,'KPI_FY 24-25'!GT23,'KPI_FY 24-25'!HP23,'KPI_FY 24-25'!IL23)</f>
        <v>2058</v>
      </c>
      <c r="E21" s="6">
        <f>SUM('KPI_FY 24-25'!E23,'KPI_FY 24-25'!AA23,'KPI_FY 24-25'!AW23,'KPI_FY 24-25'!BS23,'KPI_FY 24-25'!CO23,'KPI_FY 24-25'!DK23,'KPI_FY 24-25'!EG23,'KPI_FY 24-25'!FC23,'KPI_FY 24-25'!FY23,'KPI_FY 24-25'!GU23,'KPI_FY 24-25'!HQ23,'KPI_FY 24-25'!IM23)</f>
        <v>1213.5999999999999</v>
      </c>
      <c r="F21" s="6">
        <f>SUM('KPI_FY 24-25'!F23,'KPI_FY 24-25'!AB23,'KPI_FY 24-25'!AX23,'KPI_FY 24-25'!BT23,'KPI_FY 24-25'!CP23,'KPI_FY 24-25'!DL23,'KPI_FY 24-25'!EH23,'KPI_FY 24-25'!FD23,'KPI_FY 24-25'!FZ23,'KPI_FY 24-25'!GV23,'KPI_FY 24-25'!HR23,'KPI_FY 24-25'!IN23)</f>
        <v>5478.6</v>
      </c>
      <c r="G21" s="6">
        <f>(F21/$B$2)</f>
        <v>0.62541095890410958</v>
      </c>
      <c r="H21" s="6">
        <f>SUM('KPI_FY 24-25'!H23,'KPI_FY 24-25'!AD23,'KPI_FY 24-25'!AZ23,'KPI_FY 24-25'!BV23,'KPI_FY 24-25'!CR23,'KPI_FY 24-25'!DN23,'KPI_FY 24-25'!EJ23,'KPI_FY 24-25'!FF23,'KPI_FY 24-25'!GB23,'KPI_FY 24-25'!GX23,'KPI_FY 24-25'!HT23,'KPI_FY 24-25'!IP23)</f>
        <v>0</v>
      </c>
      <c r="I21" s="6">
        <f>(H21/$B$2)</f>
        <v>0</v>
      </c>
      <c r="J21" s="6">
        <f>SUM('KPI_FY 24-25'!J23,'KPI_FY 24-25'!AF23,'KPI_FY 24-25'!BB23,'KPI_FY 24-25'!BX23,'KPI_FY 24-25'!CT23,'KPI_FY 24-25'!DP23,'KPI_FY 24-25'!EL23,'KPI_FY 24-25'!FH23,'KPI_FY 24-25'!GD23,'KPI_FY 24-25'!GZ23,'KPI_FY 24-25'!HV23,'KPI_FY 24-25'!IR23)</f>
        <v>9.8000000000000007</v>
      </c>
      <c r="K21" s="6">
        <f>(J21/$B$2)</f>
        <v>1.1187214611872148E-3</v>
      </c>
      <c r="L21" s="8">
        <f>SUM('KPI_FY 24-25'!L23,'KPI_FY 24-25'!AH23,'KPI_FY 24-25'!BD23,'KPI_FY 24-25'!BZ23,'KPI_FY 24-25'!CV23,'KPI_FY 24-25'!DR23,'KPI_FY 24-25'!EN23,'KPI_FY 24-25'!FJ23,'KPI_FY 24-25'!GF23,'KPI_FY 24-25'!HB23,'KPI_FY 24-25'!HX23,'KPI_FY 24-25'!IT23)</f>
        <v>0</v>
      </c>
      <c r="M21" s="6">
        <f>(C21/$B$2)</f>
        <v>0.37347031963470317</v>
      </c>
      <c r="N21" s="6">
        <f>((C21-L21)/$B$2)</f>
        <v>0.37347031963470317</v>
      </c>
      <c r="O21" s="18">
        <f>IF((AND(D21=0,F21=0)),0,(F21+L21)/(D21+F21+L21))</f>
        <v>0.72693256906297266</v>
      </c>
      <c r="P21" s="6">
        <f>(R21/($B$2*S21))</f>
        <v>6.2426274733637745E-2</v>
      </c>
      <c r="Q21" s="6">
        <f>(L21/$B$2)</f>
        <v>0</v>
      </c>
      <c r="R21" s="137">
        <f>SUM('KPI_FY 24-25'!T23,'KPI_FY 24-25'!AP23,'KPI_FY 24-25'!BL23,'KPI_FY 24-25'!CH23,'KPI_FY 24-25'!DD23,'KPI_FY 24-25'!DZ23,'KPI_FY 24-25'!EV23,'KPI_FY 24-25'!FR23,'KPI_FY 24-25'!GN23,'KPI_FY 24-25'!HJ23,'KPI_FY 24-25'!IF23,'KPI_FY 24-25'!JB23)</f>
        <v>52498</v>
      </c>
      <c r="S21" s="8">
        <v>96</v>
      </c>
      <c r="T21" s="132">
        <f>N21+K21+I21+G21+Q21</f>
        <v>1</v>
      </c>
    </row>
    <row r="22" spans="1:31" ht="28.5" x14ac:dyDescent="0.25">
      <c r="A22" s="8"/>
      <c r="B22" s="37" t="s">
        <v>47</v>
      </c>
      <c r="C22" s="6">
        <v>8105.6</v>
      </c>
      <c r="D22" s="6">
        <f>SUM('KPI_FY 24-25'!D24,'KPI_FY 24-25'!Z24,'KPI_FY 24-25'!AV24,'KPI_FY 24-25'!BR24,'KPI_FY 24-25'!CN24,'KPI_FY 24-25'!DJ24,'KPI_FY 24-25'!EF24,'KPI_FY 24-25'!FB24,'KPI_FY 24-25'!FX24,'KPI_FY 24-25'!GT24,'KPI_FY 24-25'!HP24,'KPI_FY 24-25'!IL24)</f>
        <v>4360</v>
      </c>
      <c r="E22" s="6">
        <f>SUM('KPI_FY 24-25'!E24,'KPI_FY 24-25'!AA24,'KPI_FY 24-25'!AW24,'KPI_FY 24-25'!BS24,'KPI_FY 24-25'!CO24,'KPI_FY 24-25'!DK24,'KPI_FY 24-25'!EG24,'KPI_FY 24-25'!FC24,'KPI_FY 24-25'!FY24,'KPI_FY 24-25'!GU24,'KPI_FY 24-25'!HQ24,'KPI_FY 24-25'!IM24)</f>
        <v>3745.6</v>
      </c>
      <c r="F22" s="6">
        <f>SUM('KPI_FY 24-25'!F24,'KPI_FY 24-25'!AB24,'KPI_FY 24-25'!AX24,'KPI_FY 24-25'!BT24,'KPI_FY 24-25'!CP24,'KPI_FY 24-25'!DL24,'KPI_FY 24-25'!EH24,'KPI_FY 24-25'!FD24,'KPI_FY 24-25'!FZ24,'KPI_FY 24-25'!GV24,'KPI_FY 24-25'!HR24,'KPI_FY 24-25'!IN24)</f>
        <v>404.79999999999995</v>
      </c>
      <c r="G22" s="6">
        <f t="shared" ref="G22:G30" si="28">(F22/$B$2)</f>
        <v>4.6210045662100449E-2</v>
      </c>
      <c r="H22" s="6">
        <f>SUM('KPI_FY 24-25'!H24,'KPI_FY 24-25'!AD24,'KPI_FY 24-25'!AZ24,'KPI_FY 24-25'!BV24,'KPI_FY 24-25'!CR24,'KPI_FY 24-25'!DN24,'KPI_FY 24-25'!EJ24,'KPI_FY 24-25'!FF24,'KPI_FY 24-25'!GB24,'KPI_FY 24-25'!GX24,'KPI_FY 24-25'!HT24,'KPI_FY 24-25'!IP24)</f>
        <v>233</v>
      </c>
      <c r="I22" s="6">
        <f t="shared" ref="I22:I30" si="29">(H22/$B$2)</f>
        <v>2.6598173515981736E-2</v>
      </c>
      <c r="J22" s="6">
        <f>SUM('KPI_FY 24-25'!J24,'KPI_FY 24-25'!AF24,'KPI_FY 24-25'!BB24,'KPI_FY 24-25'!BX24,'KPI_FY 24-25'!CT24,'KPI_FY 24-25'!DP24,'KPI_FY 24-25'!EL24,'KPI_FY 24-25'!FH24,'KPI_FY 24-25'!GD24,'KPI_FY 24-25'!GZ24,'KPI_FY 24-25'!HV24,'KPI_FY 24-25'!IR24)</f>
        <v>16.600000000000001</v>
      </c>
      <c r="K22" s="6">
        <f t="shared" ref="K22:K30" si="30">(J22/$B$2)</f>
        <v>1.8949771689497719E-3</v>
      </c>
      <c r="L22" s="8">
        <f>SUM('KPI_FY 24-25'!L24,'KPI_FY 24-25'!AH24,'KPI_FY 24-25'!BD24,'KPI_FY 24-25'!BZ24,'KPI_FY 24-25'!CV24,'KPI_FY 24-25'!DR24,'KPI_FY 24-25'!EN24,'KPI_FY 24-25'!FJ24,'KPI_FY 24-25'!GF24,'KPI_FY 24-25'!HB24,'KPI_FY 24-25'!HX24,'KPI_FY 24-25'!IT24)</f>
        <v>0</v>
      </c>
      <c r="M22" s="6">
        <f t="shared" ref="M22:M30" si="31">(C22/$B$2)</f>
        <v>0.92529680365296807</v>
      </c>
      <c r="N22" s="6">
        <f t="shared" ref="N22:N30" si="32">((C22-L22)/$B$2)</f>
        <v>0.92529680365296807</v>
      </c>
      <c r="O22" s="18">
        <f t="shared" ref="O22:O30" si="33">IF((AND(D22=0,F22=0)),0,(F22+L22)/(D22+F22+L22))</f>
        <v>8.495634654130288E-2</v>
      </c>
      <c r="P22" s="6">
        <f t="shared" ref="P22:P30" si="34">(R22/($B$2*S22))</f>
        <v>0.39364155251141553</v>
      </c>
      <c r="Q22" s="6">
        <f t="shared" ref="Q22:Q30" si="35">(L22/$B$2)</f>
        <v>0</v>
      </c>
      <c r="R22" s="137">
        <f>SUM('KPI_FY 24-25'!T24,'KPI_FY 24-25'!AP24,'KPI_FY 24-25'!BL24,'KPI_FY 24-25'!CH24,'KPI_FY 24-25'!DD24,'KPI_FY 24-25'!DZ24,'KPI_FY 24-25'!EV24,'KPI_FY 24-25'!FR24,'KPI_FY 24-25'!GN24,'KPI_FY 24-25'!HJ24,'KPI_FY 24-25'!IF24,'KPI_FY 24-25'!JB24)</f>
        <v>172415</v>
      </c>
      <c r="S22" s="8">
        <v>50</v>
      </c>
      <c r="T22" s="132">
        <f t="shared" ref="T22:T30" si="36">N22+K22+I22+G22+Q22</f>
        <v>1</v>
      </c>
      <c r="U22" s="65" t="s">
        <v>94</v>
      </c>
      <c r="V22" s="63">
        <f>SUM(S10,S13,S16,S19)</f>
        <v>2792</v>
      </c>
      <c r="W22" s="63">
        <f>SUM(S10,S13,S16,S19,S31,S35,S38,S44,S46,S50,S54,S57,S62,S77)</f>
        <v>4400</v>
      </c>
    </row>
    <row r="23" spans="1:31" ht="28.5" x14ac:dyDescent="0.25">
      <c r="A23" s="8"/>
      <c r="B23" s="37" t="s">
        <v>48</v>
      </c>
      <c r="C23" s="6">
        <v>8132</v>
      </c>
      <c r="D23" s="6">
        <f>SUM('KPI_FY 24-25'!D25,'KPI_FY 24-25'!Z25,'KPI_FY 24-25'!AV25,'KPI_FY 24-25'!BR25,'KPI_FY 24-25'!CN25,'KPI_FY 24-25'!DJ25,'KPI_FY 24-25'!EF25,'KPI_FY 24-25'!FB25,'KPI_FY 24-25'!FX25,'KPI_FY 24-25'!GT25,'KPI_FY 24-25'!HP25,'KPI_FY 24-25'!IL25)</f>
        <v>4874</v>
      </c>
      <c r="E23" s="6">
        <f>SUM('KPI_FY 24-25'!E25,'KPI_FY 24-25'!AA25,'KPI_FY 24-25'!AW25,'KPI_FY 24-25'!BS25,'KPI_FY 24-25'!CO25,'KPI_FY 24-25'!DK25,'KPI_FY 24-25'!EG25,'KPI_FY 24-25'!FC25,'KPI_FY 24-25'!FY25,'KPI_FY 24-25'!GU25,'KPI_FY 24-25'!HQ25,'KPI_FY 24-25'!IM25)</f>
        <v>3257.9999999999991</v>
      </c>
      <c r="F23" s="6">
        <f>SUM('KPI_FY 24-25'!F25,'KPI_FY 24-25'!AB25,'KPI_FY 24-25'!AX25,'KPI_FY 24-25'!BT25,'KPI_FY 24-25'!CP25,'KPI_FY 24-25'!DL25,'KPI_FY 24-25'!EH25,'KPI_FY 24-25'!FD25,'KPI_FY 24-25'!FZ25,'KPI_FY 24-25'!GV25,'KPI_FY 24-25'!HR25,'KPI_FY 24-25'!IN25)</f>
        <v>430.1</v>
      </c>
      <c r="G23" s="6">
        <f t="shared" si="28"/>
        <v>4.9098173515981738E-2</v>
      </c>
      <c r="H23" s="6">
        <f>SUM('KPI_FY 24-25'!H25,'KPI_FY 24-25'!AD25,'KPI_FY 24-25'!AZ25,'KPI_FY 24-25'!BV25,'KPI_FY 24-25'!CR25,'KPI_FY 24-25'!DN25,'KPI_FY 24-25'!EJ25,'KPI_FY 24-25'!FF25,'KPI_FY 24-25'!GB25,'KPI_FY 24-25'!GX25,'KPI_FY 24-25'!HT25,'KPI_FY 24-25'!IP25)</f>
        <v>179.89999999999998</v>
      </c>
      <c r="I23" s="6">
        <f t="shared" si="29"/>
        <v>2.0536529680365293E-2</v>
      </c>
      <c r="J23" s="6">
        <f>SUM('KPI_FY 24-25'!J25,'KPI_FY 24-25'!AF25,'KPI_FY 24-25'!BB25,'KPI_FY 24-25'!BX25,'KPI_FY 24-25'!CT25,'KPI_FY 24-25'!DP25,'KPI_FY 24-25'!EL25,'KPI_FY 24-25'!FH25,'KPI_FY 24-25'!GD25,'KPI_FY 24-25'!GZ25,'KPI_FY 24-25'!HV25,'KPI_FY 24-25'!IR25)</f>
        <v>18</v>
      </c>
      <c r="K23" s="6">
        <f t="shared" si="30"/>
        <v>2.054794520547945E-3</v>
      </c>
      <c r="L23" s="8">
        <f>SUM('KPI_FY 24-25'!L25,'KPI_FY 24-25'!AH25,'KPI_FY 24-25'!BD25,'KPI_FY 24-25'!BZ25,'KPI_FY 24-25'!CV25,'KPI_FY 24-25'!DR25,'KPI_FY 24-25'!EN25,'KPI_FY 24-25'!FJ25,'KPI_FY 24-25'!GF25,'KPI_FY 24-25'!HB25,'KPI_FY 24-25'!HX25,'KPI_FY 24-25'!IT25)</f>
        <v>0</v>
      </c>
      <c r="M23" s="6">
        <f t="shared" si="31"/>
        <v>0.92831050228310508</v>
      </c>
      <c r="N23" s="6">
        <f t="shared" si="32"/>
        <v>0.92831050228310508</v>
      </c>
      <c r="O23" s="18">
        <f t="shared" si="33"/>
        <v>8.1088214777247786E-2</v>
      </c>
      <c r="P23" s="6">
        <f t="shared" si="34"/>
        <v>0.43383561643835616</v>
      </c>
      <c r="Q23" s="6">
        <f t="shared" si="35"/>
        <v>0</v>
      </c>
      <c r="R23" s="137">
        <f>SUM('KPI_FY 24-25'!T25,'KPI_FY 24-25'!AP25,'KPI_FY 24-25'!BL25,'KPI_FY 24-25'!CH25,'KPI_FY 24-25'!DD25,'KPI_FY 24-25'!DZ25,'KPI_FY 24-25'!EV25,'KPI_FY 24-25'!FR25,'KPI_FY 24-25'!GN25,'KPI_FY 24-25'!HJ25,'KPI_FY 24-25'!IF25,'KPI_FY 24-25'!JB25)</f>
        <v>190020</v>
      </c>
      <c r="S23" s="8">
        <v>50</v>
      </c>
      <c r="T23" s="132">
        <f t="shared" si="36"/>
        <v>1</v>
      </c>
      <c r="U23" s="65" t="s">
        <v>95</v>
      </c>
      <c r="V23" s="9">
        <f>SUM(S31,S35,S38,S41,S44,S47,S50,S54,S57,S62)</f>
        <v>1331</v>
      </c>
    </row>
    <row r="24" spans="1:31" x14ac:dyDescent="0.25">
      <c r="A24" s="8"/>
      <c r="B24" s="37" t="s">
        <v>49</v>
      </c>
      <c r="C24" s="6">
        <v>0</v>
      </c>
      <c r="D24" s="6">
        <f>SUM('KPI_FY 24-25'!D26,'KPI_FY 24-25'!Z26,'KPI_FY 24-25'!AV26,'KPI_FY 24-25'!BR26,'KPI_FY 24-25'!CN26,'KPI_FY 24-25'!DJ26,'KPI_FY 24-25'!EF26,'KPI_FY 24-25'!FB26,'KPI_FY 24-25'!FX26,'KPI_FY 24-25'!GT26,'KPI_FY 24-25'!HP26,'KPI_FY 24-25'!IL26)</f>
        <v>0</v>
      </c>
      <c r="E24" s="6">
        <f>SUM('KPI_FY 24-25'!E26,'KPI_FY 24-25'!AA26,'KPI_FY 24-25'!AW26,'KPI_FY 24-25'!BS26,'KPI_FY 24-25'!CO26,'KPI_FY 24-25'!DK26,'KPI_FY 24-25'!EG26,'KPI_FY 24-25'!FC26,'KPI_FY 24-25'!FY26,'KPI_FY 24-25'!GU26,'KPI_FY 24-25'!HQ26,'KPI_FY 24-25'!IM26)</f>
        <v>0</v>
      </c>
      <c r="F24" s="6">
        <f>SUM('KPI_FY 24-25'!F26,'KPI_FY 24-25'!AB26,'KPI_FY 24-25'!AX26,'KPI_FY 24-25'!BT26,'KPI_FY 24-25'!CP26,'KPI_FY 24-25'!DL26,'KPI_FY 24-25'!EH26,'KPI_FY 24-25'!FD26,'KPI_FY 24-25'!FZ26,'KPI_FY 24-25'!GV26,'KPI_FY 24-25'!HR26,'KPI_FY 24-25'!IN26)</f>
        <v>0</v>
      </c>
      <c r="G24" s="6">
        <f t="shared" si="28"/>
        <v>0</v>
      </c>
      <c r="H24" s="6">
        <f>SUM('KPI_FY 24-25'!H26,'KPI_FY 24-25'!AD26,'KPI_FY 24-25'!AZ26,'KPI_FY 24-25'!BV26,'KPI_FY 24-25'!CR26,'KPI_FY 24-25'!DN26,'KPI_FY 24-25'!EJ26,'KPI_FY 24-25'!FF26,'KPI_FY 24-25'!GB26,'KPI_FY 24-25'!GX26,'KPI_FY 24-25'!HT26,'KPI_FY 24-25'!IP26)</f>
        <v>8760</v>
      </c>
      <c r="I24" s="6">
        <f t="shared" si="29"/>
        <v>1</v>
      </c>
      <c r="J24" s="6">
        <f>SUM('KPI_FY 24-25'!J26,'KPI_FY 24-25'!AF26,'KPI_FY 24-25'!BB26,'KPI_FY 24-25'!BX26,'KPI_FY 24-25'!CT26,'KPI_FY 24-25'!DP26,'KPI_FY 24-25'!EL26,'KPI_FY 24-25'!FH26,'KPI_FY 24-25'!GD26,'KPI_FY 24-25'!GZ26,'KPI_FY 24-25'!HV26,'KPI_FY 24-25'!IR26)</f>
        <v>0</v>
      </c>
      <c r="K24" s="6">
        <f t="shared" si="30"/>
        <v>0</v>
      </c>
      <c r="L24" s="8">
        <f>SUM('KPI_FY 24-25'!L26,'KPI_FY 24-25'!AH26,'KPI_FY 24-25'!BD26,'KPI_FY 24-25'!BZ26,'KPI_FY 24-25'!CV26,'KPI_FY 24-25'!DR26,'KPI_FY 24-25'!EN26,'KPI_FY 24-25'!FJ26,'KPI_FY 24-25'!GF26,'KPI_FY 24-25'!HB26,'KPI_FY 24-25'!HX26,'KPI_FY 24-25'!IT26)</f>
        <v>0</v>
      </c>
      <c r="M24" s="6">
        <f t="shared" si="31"/>
        <v>0</v>
      </c>
      <c r="N24" s="6">
        <f t="shared" si="32"/>
        <v>0</v>
      </c>
      <c r="O24" s="18">
        <f t="shared" si="33"/>
        <v>0</v>
      </c>
      <c r="P24" s="6">
        <f t="shared" si="34"/>
        <v>0</v>
      </c>
      <c r="Q24" s="6">
        <f t="shared" si="35"/>
        <v>0</v>
      </c>
      <c r="R24" s="134">
        <f>SUM('KPI_FY 24-25'!T26,'KPI_FY 24-25'!AP26,'KPI_FY 24-25'!BL26,'KPI_FY 24-25'!CH26,'KPI_FY 24-25'!DD26,'KPI_FY 24-25'!DZ26,'KPI_FY 24-25'!EV26,'KPI_FY 24-25'!FR26,'KPI_FY 24-25'!GN26,'KPI_FY 24-25'!HJ26,'KPI_FY 24-25'!IF26,'KPI_FY 24-25'!JB26)</f>
        <v>0</v>
      </c>
      <c r="S24" s="8">
        <v>50</v>
      </c>
      <c r="T24" s="132">
        <f t="shared" si="36"/>
        <v>1</v>
      </c>
      <c r="U24" s="65" t="s">
        <v>96</v>
      </c>
      <c r="V24" s="9">
        <f>S77</f>
        <v>340</v>
      </c>
    </row>
    <row r="25" spans="1:31" x14ac:dyDescent="0.25">
      <c r="A25" s="8"/>
      <c r="B25" s="37" t="s">
        <v>50</v>
      </c>
      <c r="C25" s="6">
        <v>8330.5</v>
      </c>
      <c r="D25" s="6">
        <f>SUM('KPI_FY 24-25'!D27,'KPI_FY 24-25'!Z27,'KPI_FY 24-25'!AV27,'KPI_FY 24-25'!BR27,'KPI_FY 24-25'!CN27,'KPI_FY 24-25'!DJ27,'KPI_FY 24-25'!EF27,'KPI_FY 24-25'!FB27,'KPI_FY 24-25'!FX27,'KPI_FY 24-25'!GT27,'KPI_FY 24-25'!HP27,'KPI_FY 24-25'!IL27)</f>
        <v>3702</v>
      </c>
      <c r="E25" s="6">
        <f>SUM('KPI_FY 24-25'!E27,'KPI_FY 24-25'!AA27,'KPI_FY 24-25'!AW27,'KPI_FY 24-25'!BS27,'KPI_FY 24-25'!CO27,'KPI_FY 24-25'!DK27,'KPI_FY 24-25'!EG27,'KPI_FY 24-25'!FC27,'KPI_FY 24-25'!FY27,'KPI_FY 24-25'!GU27,'KPI_FY 24-25'!HQ27,'KPI_FY 24-25'!IM27)</f>
        <v>4628.5</v>
      </c>
      <c r="F25" s="6">
        <f>SUM('KPI_FY 24-25'!F27,'KPI_FY 24-25'!AB27,'KPI_FY 24-25'!AX27,'KPI_FY 24-25'!BT27,'KPI_FY 24-25'!CP27,'KPI_FY 24-25'!DL27,'KPI_FY 24-25'!EH27,'KPI_FY 24-25'!FD27,'KPI_FY 24-25'!FZ27,'KPI_FY 24-25'!GV27,'KPI_FY 24-25'!HR27,'KPI_FY 24-25'!IN27)</f>
        <v>421</v>
      </c>
      <c r="G25" s="6">
        <f t="shared" si="28"/>
        <v>4.8059360730593609E-2</v>
      </c>
      <c r="H25" s="6">
        <f>SUM('KPI_FY 24-25'!H27,'KPI_FY 24-25'!AD27,'KPI_FY 24-25'!AZ27,'KPI_FY 24-25'!BV27,'KPI_FY 24-25'!CR27,'KPI_FY 24-25'!DN27,'KPI_FY 24-25'!EJ27,'KPI_FY 24-25'!FF27,'KPI_FY 24-25'!GB27,'KPI_FY 24-25'!GX27,'KPI_FY 24-25'!HT27,'KPI_FY 24-25'!IP27)</f>
        <v>0</v>
      </c>
      <c r="I25" s="6">
        <f t="shared" si="29"/>
        <v>0</v>
      </c>
      <c r="J25" s="6">
        <f>SUM('KPI_FY 24-25'!J27,'KPI_FY 24-25'!AF27,'KPI_FY 24-25'!BB27,'KPI_FY 24-25'!BX27,'KPI_FY 24-25'!CT27,'KPI_FY 24-25'!DP27,'KPI_FY 24-25'!EL27,'KPI_FY 24-25'!FH27,'KPI_FY 24-25'!GD27,'KPI_FY 24-25'!GZ27,'KPI_FY 24-25'!HV27,'KPI_FY 24-25'!IR27)</f>
        <v>8.5</v>
      </c>
      <c r="K25" s="6">
        <f t="shared" si="30"/>
        <v>9.7031963470319634E-4</v>
      </c>
      <c r="L25" s="8">
        <f>SUM('KPI_FY 24-25'!L27,'KPI_FY 24-25'!AH27,'KPI_FY 24-25'!BD27,'KPI_FY 24-25'!BZ27,'KPI_FY 24-25'!CV27,'KPI_FY 24-25'!DR27,'KPI_FY 24-25'!EN27,'KPI_FY 24-25'!FJ27,'KPI_FY 24-25'!GF27,'KPI_FY 24-25'!HB27,'KPI_FY 24-25'!HX27,'KPI_FY 24-25'!IT27)</f>
        <v>0</v>
      </c>
      <c r="M25" s="6">
        <f t="shared" si="31"/>
        <v>0.95097031963470324</v>
      </c>
      <c r="N25" s="6">
        <f t="shared" si="32"/>
        <v>0.95097031963470324</v>
      </c>
      <c r="O25" s="18">
        <f t="shared" si="33"/>
        <v>0.10211011399466408</v>
      </c>
      <c r="P25" s="6">
        <f t="shared" si="34"/>
        <v>0.25411872146118719</v>
      </c>
      <c r="Q25" s="6">
        <f t="shared" si="35"/>
        <v>0</v>
      </c>
      <c r="R25" s="137">
        <f>SUM('KPI_FY 24-25'!T27,'KPI_FY 24-25'!AP27,'KPI_FY 24-25'!BL27,'KPI_FY 24-25'!CH27,'KPI_FY 24-25'!DD27,'KPI_FY 24-25'!DZ27,'KPI_FY 24-25'!EV27,'KPI_FY 24-25'!FR27,'KPI_FY 24-25'!GN27,'KPI_FY 24-25'!HJ27,'KPI_FY 24-25'!IF27,'KPI_FY 24-25'!JB27)</f>
        <v>111304</v>
      </c>
      <c r="S25" s="8">
        <v>50</v>
      </c>
      <c r="T25" s="132">
        <f t="shared" si="36"/>
        <v>1</v>
      </c>
      <c r="W25" s="66"/>
      <c r="X25" s="66"/>
      <c r="AB25" s="2"/>
      <c r="AC25" s="2"/>
    </row>
    <row r="26" spans="1:31" x14ac:dyDescent="0.25">
      <c r="A26" s="8"/>
      <c r="B26" s="37" t="s">
        <v>51</v>
      </c>
      <c r="C26" s="6">
        <v>0</v>
      </c>
      <c r="D26" s="6">
        <f>SUM('KPI_FY 24-25'!D28,'KPI_FY 24-25'!Z28,'KPI_FY 24-25'!AV28,'KPI_FY 24-25'!BR28,'KPI_FY 24-25'!CN28,'KPI_FY 24-25'!DJ28,'KPI_FY 24-25'!EF28,'KPI_FY 24-25'!FB28,'KPI_FY 24-25'!FX28,'KPI_FY 24-25'!GT28,'KPI_FY 24-25'!HP28,'KPI_FY 24-25'!IL28)</f>
        <v>0</v>
      </c>
      <c r="E26" s="6">
        <f>SUM('KPI_FY 24-25'!E28,'KPI_FY 24-25'!AA28,'KPI_FY 24-25'!AW28,'KPI_FY 24-25'!BS28,'KPI_FY 24-25'!CO28,'KPI_FY 24-25'!DK28,'KPI_FY 24-25'!EG28,'KPI_FY 24-25'!FC28,'KPI_FY 24-25'!FY28,'KPI_FY 24-25'!GU28,'KPI_FY 24-25'!HQ28,'KPI_FY 24-25'!IM28)</f>
        <v>0</v>
      </c>
      <c r="F26" s="6">
        <f>SUM('KPI_FY 24-25'!F28,'KPI_FY 24-25'!AB28,'KPI_FY 24-25'!AX28,'KPI_FY 24-25'!BT28,'KPI_FY 24-25'!CP28,'KPI_FY 24-25'!DL28,'KPI_FY 24-25'!EH28,'KPI_FY 24-25'!FD28,'KPI_FY 24-25'!FZ28,'KPI_FY 24-25'!GV28,'KPI_FY 24-25'!HR28,'KPI_FY 24-25'!IN28)</f>
        <v>0</v>
      </c>
      <c r="G26" s="6">
        <f t="shared" si="28"/>
        <v>0</v>
      </c>
      <c r="H26" s="6">
        <f>SUM('KPI_FY 24-25'!H28,'KPI_FY 24-25'!AD28,'KPI_FY 24-25'!AZ28,'KPI_FY 24-25'!BV28,'KPI_FY 24-25'!CR28,'KPI_FY 24-25'!DN28,'KPI_FY 24-25'!EJ28,'KPI_FY 24-25'!FF28,'KPI_FY 24-25'!GB28,'KPI_FY 24-25'!GX28,'KPI_FY 24-25'!HT28,'KPI_FY 24-25'!IP28)</f>
        <v>8760</v>
      </c>
      <c r="I26" s="6">
        <f t="shared" si="29"/>
        <v>1</v>
      </c>
      <c r="J26" s="6">
        <f>SUM('KPI_FY 24-25'!J28,'KPI_FY 24-25'!AF28,'KPI_FY 24-25'!BB28,'KPI_FY 24-25'!BX28,'KPI_FY 24-25'!CT28,'KPI_FY 24-25'!DP28,'KPI_FY 24-25'!EL28,'KPI_FY 24-25'!FH28,'KPI_FY 24-25'!GD28,'KPI_FY 24-25'!GZ28,'KPI_FY 24-25'!HV28,'KPI_FY 24-25'!IR28)</f>
        <v>0</v>
      </c>
      <c r="K26" s="6">
        <f t="shared" si="30"/>
        <v>0</v>
      </c>
      <c r="L26" s="8">
        <f>SUM('KPI_FY 24-25'!L28,'KPI_FY 24-25'!AH28,'KPI_FY 24-25'!BD28,'KPI_FY 24-25'!BZ28,'KPI_FY 24-25'!CV28,'KPI_FY 24-25'!DR28,'KPI_FY 24-25'!EN28,'KPI_FY 24-25'!FJ28,'KPI_FY 24-25'!GF28,'KPI_FY 24-25'!HB28,'KPI_FY 24-25'!HX28,'KPI_FY 24-25'!IT28)</f>
        <v>0</v>
      </c>
      <c r="M26" s="6">
        <f t="shared" si="31"/>
        <v>0</v>
      </c>
      <c r="N26" s="6">
        <f t="shared" si="32"/>
        <v>0</v>
      </c>
      <c r="O26" s="18">
        <f t="shared" si="33"/>
        <v>0</v>
      </c>
      <c r="P26" s="6">
        <f t="shared" si="34"/>
        <v>0</v>
      </c>
      <c r="Q26" s="6">
        <f t="shared" si="35"/>
        <v>0</v>
      </c>
      <c r="R26" s="134">
        <f>SUM('KPI_FY 24-25'!T28,'KPI_FY 24-25'!AP28,'KPI_FY 24-25'!BL28,'KPI_FY 24-25'!CH28,'KPI_FY 24-25'!DD28,'KPI_FY 24-25'!DZ28,'KPI_FY 24-25'!EV28,'KPI_FY 24-25'!FR28,'KPI_FY 24-25'!GN28,'KPI_FY 24-25'!HJ28,'KPI_FY 24-25'!IF28,'KPI_FY 24-25'!JB28)</f>
        <v>0</v>
      </c>
      <c r="S26" s="8">
        <v>96</v>
      </c>
      <c r="T26" s="132">
        <f t="shared" si="36"/>
        <v>1</v>
      </c>
      <c r="V26" s="64"/>
      <c r="W26" s="15"/>
      <c r="X26" s="6"/>
      <c r="AA26" s="5"/>
      <c r="AB26" s="72"/>
      <c r="AC26" s="72"/>
    </row>
    <row r="27" spans="1:31" x14ac:dyDescent="0.25">
      <c r="A27" s="74"/>
      <c r="B27" s="37" t="s">
        <v>52</v>
      </c>
      <c r="C27" s="6">
        <v>3232</v>
      </c>
      <c r="D27" s="6">
        <f>SUM('KPI_FY 24-25'!D29,'KPI_FY 24-25'!Z29,'KPI_FY 24-25'!AV29,'KPI_FY 24-25'!BR29,'KPI_FY 24-25'!CN29,'KPI_FY 24-25'!DJ29,'KPI_FY 24-25'!EF29,'KPI_FY 24-25'!FB29,'KPI_FY 24-25'!FX29,'KPI_FY 24-25'!GT29,'KPI_FY 24-25'!HP29,'KPI_FY 24-25'!IL29)</f>
        <v>1326.6</v>
      </c>
      <c r="E27" s="6">
        <f>SUM('KPI_FY 24-25'!E29,'KPI_FY 24-25'!AA29,'KPI_FY 24-25'!AW29,'KPI_FY 24-25'!BS29,'KPI_FY 24-25'!CO29,'KPI_FY 24-25'!DK29,'KPI_FY 24-25'!EG29,'KPI_FY 24-25'!FC29,'KPI_FY 24-25'!FY29,'KPI_FY 24-25'!GU29,'KPI_FY 24-25'!HQ29,'KPI_FY 24-25'!IM29)</f>
        <v>1905.4</v>
      </c>
      <c r="F27" s="6">
        <f>SUM('KPI_FY 24-25'!F29,'KPI_FY 24-25'!AB29,'KPI_FY 24-25'!AX29,'KPI_FY 24-25'!BT29,'KPI_FY 24-25'!CP29,'KPI_FY 24-25'!DL29,'KPI_FY 24-25'!EH29,'KPI_FY 24-25'!FD29,'KPI_FY 24-25'!FZ29,'KPI_FY 24-25'!GV29,'KPI_FY 24-25'!HR29,'KPI_FY 24-25'!IN29)</f>
        <v>5477.4</v>
      </c>
      <c r="G27" s="6">
        <f t="shared" si="28"/>
        <v>0.62527397260273965</v>
      </c>
      <c r="H27" s="6">
        <f>SUM('KPI_FY 24-25'!H29,'KPI_FY 24-25'!AD29,'KPI_FY 24-25'!AZ29,'KPI_FY 24-25'!BV29,'KPI_FY 24-25'!CR29,'KPI_FY 24-25'!DN29,'KPI_FY 24-25'!EJ29,'KPI_FY 24-25'!FF29,'KPI_FY 24-25'!GB29,'KPI_FY 24-25'!GX29,'KPI_FY 24-25'!HT29,'KPI_FY 24-25'!IP29)</f>
        <v>0</v>
      </c>
      <c r="I27" s="6">
        <f t="shared" si="29"/>
        <v>0</v>
      </c>
      <c r="J27" s="6">
        <f>SUM('KPI_FY 24-25'!J29,'KPI_FY 24-25'!AF29,'KPI_FY 24-25'!BB29,'KPI_FY 24-25'!BX29,'KPI_FY 24-25'!CT29,'KPI_FY 24-25'!DP29,'KPI_FY 24-25'!EL29,'KPI_FY 24-25'!FH29,'KPI_FY 24-25'!GD29,'KPI_FY 24-25'!GZ29,'KPI_FY 24-25'!HV29,'KPI_FY 24-25'!IR29)</f>
        <v>50.6</v>
      </c>
      <c r="K27" s="6">
        <f t="shared" si="30"/>
        <v>5.776255707762557E-3</v>
      </c>
      <c r="L27" s="8">
        <f>SUM('KPI_FY 24-25'!L29,'KPI_FY 24-25'!AH29,'KPI_FY 24-25'!BD29,'KPI_FY 24-25'!BZ29,'KPI_FY 24-25'!CV29,'KPI_FY 24-25'!DR29,'KPI_FY 24-25'!EN29,'KPI_FY 24-25'!FJ29,'KPI_FY 24-25'!GF29,'KPI_FY 24-25'!HB29,'KPI_FY 24-25'!HX29,'KPI_FY 24-25'!IT29)</f>
        <v>0</v>
      </c>
      <c r="M27" s="6">
        <f t="shared" si="31"/>
        <v>0.36894977168949772</v>
      </c>
      <c r="N27" s="6">
        <f t="shared" si="32"/>
        <v>0.36894977168949772</v>
      </c>
      <c r="O27" s="18">
        <f t="shared" si="33"/>
        <v>0.80502645502645498</v>
      </c>
      <c r="P27" s="6">
        <f t="shared" si="34"/>
        <v>9.5251141552511409E-2</v>
      </c>
      <c r="Q27" s="6">
        <f t="shared" si="35"/>
        <v>0</v>
      </c>
      <c r="R27" s="137">
        <f>SUM('KPI_FY 24-25'!T29,'KPI_FY 24-25'!AP29,'KPI_FY 24-25'!BL29,'KPI_FY 24-25'!CH29,'KPI_FY 24-25'!DD29,'KPI_FY 24-25'!DZ29,'KPI_FY 24-25'!EV29,'KPI_FY 24-25'!FR29,'KPI_FY 24-25'!GN29,'KPI_FY 24-25'!HJ29,'KPI_FY 24-25'!IF29,'KPI_FY 24-25'!JB29)</f>
        <v>41720</v>
      </c>
      <c r="S27" s="8">
        <v>50</v>
      </c>
      <c r="T27" s="132">
        <f t="shared" si="36"/>
        <v>1</v>
      </c>
      <c r="V27" s="64"/>
      <c r="W27" s="15"/>
      <c r="X27" s="15"/>
      <c r="AA27" s="5"/>
      <c r="AB27" s="72"/>
      <c r="AC27" s="72"/>
    </row>
    <row r="28" spans="1:31" x14ac:dyDescent="0.25">
      <c r="A28" s="8"/>
      <c r="B28" s="37" t="s">
        <v>53</v>
      </c>
      <c r="C28" s="6">
        <v>1386.4</v>
      </c>
      <c r="D28" s="6">
        <f>SUM('KPI_FY 24-25'!D30,'KPI_FY 24-25'!Z30,'KPI_FY 24-25'!AV30,'KPI_FY 24-25'!BR30,'KPI_FY 24-25'!CN30,'KPI_FY 24-25'!DJ30,'KPI_FY 24-25'!EF30,'KPI_FY 24-25'!FB30,'KPI_FY 24-25'!FX30,'KPI_FY 24-25'!GT30,'KPI_FY 24-25'!HP30,'KPI_FY 24-25'!IL30)</f>
        <v>699.10000000000014</v>
      </c>
      <c r="E28" s="6">
        <f>SUM('KPI_FY 24-25'!E30,'KPI_FY 24-25'!AA30,'KPI_FY 24-25'!AW30,'KPI_FY 24-25'!BS30,'KPI_FY 24-25'!CO30,'KPI_FY 24-25'!DK30,'KPI_FY 24-25'!EG30,'KPI_FY 24-25'!FC30,'KPI_FY 24-25'!FY30,'KPI_FY 24-25'!GU30,'KPI_FY 24-25'!HQ30,'KPI_FY 24-25'!IM30)</f>
        <v>687.3</v>
      </c>
      <c r="F28" s="6">
        <f>SUM('KPI_FY 24-25'!F30,'KPI_FY 24-25'!AB30,'KPI_FY 24-25'!AX30,'KPI_FY 24-25'!BT30,'KPI_FY 24-25'!CP30,'KPI_FY 24-25'!DL30,'KPI_FY 24-25'!EH30,'KPI_FY 24-25'!FD30,'KPI_FY 24-25'!FZ30,'KPI_FY 24-25'!GV30,'KPI_FY 24-25'!HR30,'KPI_FY 24-25'!IN30)</f>
        <v>3065.3</v>
      </c>
      <c r="G28" s="6">
        <f t="shared" si="28"/>
        <v>0.34992009132420093</v>
      </c>
      <c r="H28" s="6">
        <f>SUM('KPI_FY 24-25'!H30,'KPI_FY 24-25'!AD30,'KPI_FY 24-25'!AZ30,'KPI_FY 24-25'!BV30,'KPI_FY 24-25'!CR30,'KPI_FY 24-25'!DN30,'KPI_FY 24-25'!EJ30,'KPI_FY 24-25'!FF30,'KPI_FY 24-25'!GB30,'KPI_FY 24-25'!GX30,'KPI_FY 24-25'!HT30,'KPI_FY 24-25'!IP30)</f>
        <v>4288.5</v>
      </c>
      <c r="I28" s="6">
        <f t="shared" si="29"/>
        <v>0.48955479452054795</v>
      </c>
      <c r="J28" s="6">
        <f>SUM('KPI_FY 24-25'!J30,'KPI_FY 24-25'!AF30,'KPI_FY 24-25'!BB30,'KPI_FY 24-25'!BX30,'KPI_FY 24-25'!CT30,'KPI_FY 24-25'!DP30,'KPI_FY 24-25'!EL30,'KPI_FY 24-25'!FH30,'KPI_FY 24-25'!GD30,'KPI_FY 24-25'!GZ30,'KPI_FY 24-25'!HV30,'KPI_FY 24-25'!IR30)</f>
        <v>19.8</v>
      </c>
      <c r="K28" s="6">
        <f t="shared" si="30"/>
        <v>2.2602739726027398E-3</v>
      </c>
      <c r="L28" s="8">
        <f>SUM('KPI_FY 24-25'!L30,'KPI_FY 24-25'!AH30,'KPI_FY 24-25'!BD30,'KPI_FY 24-25'!BZ30,'KPI_FY 24-25'!CV30,'KPI_FY 24-25'!DR30,'KPI_FY 24-25'!EN30,'KPI_FY 24-25'!FJ30,'KPI_FY 24-25'!GF30,'KPI_FY 24-25'!HB30,'KPI_FY 24-25'!HX30,'KPI_FY 24-25'!IT30)</f>
        <v>0</v>
      </c>
      <c r="M28" s="6">
        <f t="shared" si="31"/>
        <v>0.15826484018264841</v>
      </c>
      <c r="N28" s="6">
        <f t="shared" si="32"/>
        <v>0.15826484018264841</v>
      </c>
      <c r="O28" s="18">
        <f t="shared" si="33"/>
        <v>0.8142864732759536</v>
      </c>
      <c r="P28" s="6">
        <f t="shared" si="34"/>
        <v>5.2009132420091322E-2</v>
      </c>
      <c r="Q28" s="6">
        <f t="shared" si="35"/>
        <v>0</v>
      </c>
      <c r="R28" s="137">
        <f>SUM('KPI_FY 24-25'!T30,'KPI_FY 24-25'!AP30,'KPI_FY 24-25'!BL30,'KPI_FY 24-25'!CH30,'KPI_FY 24-25'!DD30,'KPI_FY 24-25'!DZ30,'KPI_FY 24-25'!EV30,'KPI_FY 24-25'!FR30,'KPI_FY 24-25'!GN30,'KPI_FY 24-25'!HJ30,'KPI_FY 24-25'!IF30,'KPI_FY 24-25'!JB30)</f>
        <v>22780</v>
      </c>
      <c r="S28" s="8">
        <v>50</v>
      </c>
      <c r="T28" s="132">
        <f t="shared" si="36"/>
        <v>1</v>
      </c>
      <c r="V28" s="64"/>
      <c r="W28" s="15"/>
      <c r="X28" s="15"/>
      <c r="AA28" s="5"/>
      <c r="AB28" s="72"/>
      <c r="AC28" s="72"/>
    </row>
    <row r="29" spans="1:31" x14ac:dyDescent="0.25">
      <c r="A29" s="8"/>
      <c r="B29" s="37" t="s">
        <v>54</v>
      </c>
      <c r="C29" s="6">
        <v>4</v>
      </c>
      <c r="D29" s="6">
        <f>SUM('KPI_FY 24-25'!D31,'KPI_FY 24-25'!Z31,'KPI_FY 24-25'!AV31,'KPI_FY 24-25'!BR31,'KPI_FY 24-25'!CN31,'KPI_FY 24-25'!DJ31,'KPI_FY 24-25'!EF31,'KPI_FY 24-25'!FB31,'KPI_FY 24-25'!FX31,'KPI_FY 24-25'!GT31,'KPI_FY 24-25'!HP31,'KPI_FY 24-25'!IL31)</f>
        <v>0</v>
      </c>
      <c r="E29" s="6">
        <f>SUM('KPI_FY 24-25'!E31,'KPI_FY 24-25'!AA31,'KPI_FY 24-25'!AW31,'KPI_FY 24-25'!BS31,'KPI_FY 24-25'!CO31,'KPI_FY 24-25'!DK31,'KPI_FY 24-25'!EG31,'KPI_FY 24-25'!FC31,'KPI_FY 24-25'!FY31,'KPI_FY 24-25'!GU31,'KPI_FY 24-25'!HQ31,'KPI_FY 24-25'!IM31)</f>
        <v>4</v>
      </c>
      <c r="F29" s="6">
        <f>SUM('KPI_FY 24-25'!F31,'KPI_FY 24-25'!AB31,'KPI_FY 24-25'!AX31,'KPI_FY 24-25'!BT31,'KPI_FY 24-25'!CP31,'KPI_FY 24-25'!DL31,'KPI_FY 24-25'!EH31,'KPI_FY 24-25'!FD31,'KPI_FY 24-25'!FZ31,'KPI_FY 24-25'!GV31,'KPI_FY 24-25'!HR31,'KPI_FY 24-25'!IN31)</f>
        <v>0</v>
      </c>
      <c r="G29" s="6">
        <f t="shared" si="28"/>
        <v>0</v>
      </c>
      <c r="H29" s="6">
        <f>SUM('KPI_FY 24-25'!H31,'KPI_FY 24-25'!AD31,'KPI_FY 24-25'!AZ31,'KPI_FY 24-25'!BV31,'KPI_FY 24-25'!CR31,'KPI_FY 24-25'!DN31,'KPI_FY 24-25'!EJ31,'KPI_FY 24-25'!FF31,'KPI_FY 24-25'!GB31,'KPI_FY 24-25'!GX31,'KPI_FY 24-25'!HT31,'KPI_FY 24-25'!IP31)</f>
        <v>8756</v>
      </c>
      <c r="I29" s="6">
        <f t="shared" si="29"/>
        <v>0.99954337899543377</v>
      </c>
      <c r="J29" s="6">
        <f>SUM('KPI_FY 24-25'!J31,'KPI_FY 24-25'!AF31,'KPI_FY 24-25'!BB31,'KPI_FY 24-25'!BX31,'KPI_FY 24-25'!CT31,'KPI_FY 24-25'!DP31,'KPI_FY 24-25'!EL31,'KPI_FY 24-25'!FH31,'KPI_FY 24-25'!GD31,'KPI_FY 24-25'!GZ31,'KPI_FY 24-25'!HV31,'KPI_FY 24-25'!IR31)</f>
        <v>0</v>
      </c>
      <c r="K29" s="6">
        <f t="shared" si="30"/>
        <v>0</v>
      </c>
      <c r="L29" s="8">
        <f>SUM('KPI_FY 24-25'!L31,'KPI_FY 24-25'!AH31,'KPI_FY 24-25'!BD31,'KPI_FY 24-25'!BZ31,'KPI_FY 24-25'!CV31,'KPI_FY 24-25'!DR31,'KPI_FY 24-25'!EN31,'KPI_FY 24-25'!FJ31,'KPI_FY 24-25'!GF31,'KPI_FY 24-25'!HB31,'KPI_FY 24-25'!HX31,'KPI_FY 24-25'!IT31)</f>
        <v>0</v>
      </c>
      <c r="M29" s="6">
        <f t="shared" si="31"/>
        <v>4.5662100456621003E-4</v>
      </c>
      <c r="N29" s="6">
        <f t="shared" si="32"/>
        <v>4.5662100456621003E-4</v>
      </c>
      <c r="O29" s="18">
        <f t="shared" si="33"/>
        <v>0</v>
      </c>
      <c r="P29" s="6">
        <f t="shared" si="34"/>
        <v>0</v>
      </c>
      <c r="Q29" s="6">
        <f t="shared" si="35"/>
        <v>0</v>
      </c>
      <c r="R29" s="134">
        <f>SUM('KPI_FY 24-25'!T31,'KPI_FY 24-25'!AP31,'KPI_FY 24-25'!BL31,'KPI_FY 24-25'!CH31,'KPI_FY 24-25'!DD31,'KPI_FY 24-25'!DZ31,'KPI_FY 24-25'!EV31,'KPI_FY 24-25'!FR31,'KPI_FY 24-25'!GN31,'KPI_FY 24-25'!HJ31,'KPI_FY 24-25'!IF31,'KPI_FY 24-25'!JB31)</f>
        <v>0</v>
      </c>
      <c r="S29" s="8">
        <v>50</v>
      </c>
      <c r="T29" s="132">
        <f t="shared" si="36"/>
        <v>1</v>
      </c>
      <c r="V29" s="64"/>
      <c r="W29" s="15"/>
      <c r="X29" s="15"/>
      <c r="AA29" s="5"/>
      <c r="AB29" s="72"/>
      <c r="AC29" s="72"/>
    </row>
    <row r="30" spans="1:31" x14ac:dyDescent="0.25">
      <c r="A30" s="8"/>
      <c r="B30" s="37" t="s">
        <v>55</v>
      </c>
      <c r="C30" s="6">
        <v>5430.5</v>
      </c>
      <c r="D30" s="6">
        <f>SUM('KPI_FY 24-25'!D32,'KPI_FY 24-25'!Z32,'KPI_FY 24-25'!AV32,'KPI_FY 24-25'!BR32,'KPI_FY 24-25'!CN32,'KPI_FY 24-25'!DJ32,'KPI_FY 24-25'!EF32,'KPI_FY 24-25'!FB32,'KPI_FY 24-25'!FX32,'KPI_FY 24-25'!GT32,'KPI_FY 24-25'!HP32,'KPI_FY 24-25'!IL32)</f>
        <v>2233.1</v>
      </c>
      <c r="E30" s="6">
        <f>SUM('KPI_FY 24-25'!E32,'KPI_FY 24-25'!AA32,'KPI_FY 24-25'!AW32,'KPI_FY 24-25'!BS32,'KPI_FY 24-25'!CO32,'KPI_FY 24-25'!DK32,'KPI_FY 24-25'!EG32,'KPI_FY 24-25'!FC32,'KPI_FY 24-25'!FY32,'KPI_FY 24-25'!GU32,'KPI_FY 24-25'!HQ32,'KPI_FY 24-25'!IM32)</f>
        <v>3197.4</v>
      </c>
      <c r="F30" s="6">
        <f>SUM('KPI_FY 24-25'!F32,'KPI_FY 24-25'!AB32,'KPI_FY 24-25'!AX32,'KPI_FY 24-25'!BT32,'KPI_FY 24-25'!CP32,'KPI_FY 24-25'!DL32,'KPI_FY 24-25'!EH32,'KPI_FY 24-25'!FD32,'KPI_FY 24-25'!FZ32,'KPI_FY 24-25'!GV32,'KPI_FY 24-25'!HR32,'KPI_FY 24-25'!IN32)</f>
        <v>3141.1</v>
      </c>
      <c r="G30" s="6">
        <f t="shared" si="28"/>
        <v>0.35857305936073058</v>
      </c>
      <c r="H30" s="6">
        <f>SUM('KPI_FY 24-25'!H32,'KPI_FY 24-25'!AD32,'KPI_FY 24-25'!AZ32,'KPI_FY 24-25'!BV32,'KPI_FY 24-25'!CR32,'KPI_FY 24-25'!DN32,'KPI_FY 24-25'!EJ32,'KPI_FY 24-25'!FF32,'KPI_FY 24-25'!GB32,'KPI_FY 24-25'!GX32,'KPI_FY 24-25'!HT32,'KPI_FY 24-25'!IP32)</f>
        <v>105.6</v>
      </c>
      <c r="I30" s="6">
        <f t="shared" si="29"/>
        <v>1.2054794520547944E-2</v>
      </c>
      <c r="J30" s="6">
        <f>SUM('KPI_FY 24-25'!J32,'KPI_FY 24-25'!AF32,'KPI_FY 24-25'!BB32,'KPI_FY 24-25'!BX32,'KPI_FY 24-25'!CT32,'KPI_FY 24-25'!DP32,'KPI_FY 24-25'!EL32,'KPI_FY 24-25'!FH32,'KPI_FY 24-25'!GD32,'KPI_FY 24-25'!GZ32,'KPI_FY 24-25'!HV32,'KPI_FY 24-25'!IR32)</f>
        <v>82.800000000000011</v>
      </c>
      <c r="K30" s="6">
        <f t="shared" si="30"/>
        <v>9.4520547945205497E-3</v>
      </c>
      <c r="L30" s="8">
        <f>SUM('KPI_FY 24-25'!L32,'KPI_FY 24-25'!AH32,'KPI_FY 24-25'!BD32,'KPI_FY 24-25'!BZ32,'KPI_FY 24-25'!CV32,'KPI_FY 24-25'!DR32,'KPI_FY 24-25'!EN32,'KPI_FY 24-25'!FJ32,'KPI_FY 24-25'!GF32,'KPI_FY 24-25'!HB32,'KPI_FY 24-25'!HX32,'KPI_FY 24-25'!IT32)</f>
        <v>0</v>
      </c>
      <c r="M30" s="6">
        <f t="shared" si="31"/>
        <v>0.61992009132420089</v>
      </c>
      <c r="N30" s="6">
        <f t="shared" si="32"/>
        <v>0.61992009132420089</v>
      </c>
      <c r="O30" s="18">
        <f t="shared" si="33"/>
        <v>0.58447768970265346</v>
      </c>
      <c r="P30" s="6">
        <f t="shared" si="34"/>
        <v>0.1896392694063927</v>
      </c>
      <c r="Q30" s="6">
        <f t="shared" si="35"/>
        <v>0</v>
      </c>
      <c r="R30" s="137">
        <f>SUM('KPI_FY 24-25'!T32,'KPI_FY 24-25'!AP32,'KPI_FY 24-25'!BL32,'KPI_FY 24-25'!CH32,'KPI_FY 24-25'!DD32,'KPI_FY 24-25'!DZ32,'KPI_FY 24-25'!EV32,'KPI_FY 24-25'!FR32,'KPI_FY 24-25'!GN32,'KPI_FY 24-25'!HJ32,'KPI_FY 24-25'!IF32,'KPI_FY 24-25'!JB32)</f>
        <v>83062</v>
      </c>
      <c r="S30" s="8">
        <v>50</v>
      </c>
      <c r="T30" s="132">
        <f t="shared" si="36"/>
        <v>1</v>
      </c>
      <c r="V30" s="64"/>
      <c r="W30" s="15"/>
      <c r="X30" s="15"/>
      <c r="AA30" s="5"/>
      <c r="AB30" s="72"/>
      <c r="AC30" s="72"/>
    </row>
    <row r="31" spans="1:31" x14ac:dyDescent="0.25">
      <c r="A31" s="8"/>
      <c r="B31" s="32" t="s">
        <v>84</v>
      </c>
      <c r="C31" s="128">
        <f>SUM(C21:C30)</f>
        <v>37892.600000000006</v>
      </c>
      <c r="D31" s="128">
        <f t="shared" ref="D31:L31" si="37">SUM(D21:D30)</f>
        <v>19252.8</v>
      </c>
      <c r="E31" s="128">
        <f t="shared" ref="E31" si="38">SUM(E21:E30)</f>
        <v>18639.8</v>
      </c>
      <c r="F31" s="128">
        <f t="shared" si="37"/>
        <v>18418.3</v>
      </c>
      <c r="G31" s="118">
        <f>(G21*S21+G22*S22+G23*S23+G24*S24+G25*S25+G26*S26+G27*S27+G28*S28+G29*S29+G30*S30)/S31</f>
        <v>0.22617599191657412</v>
      </c>
      <c r="H31" s="128">
        <f t="shared" si="37"/>
        <v>31083</v>
      </c>
      <c r="I31" s="118">
        <f>(I21*S21+I22*S22+I23*S23+I24*S24+I25*S25+I26*S26+I27*S27+I28*S28+I29*S29+I30*S30)/S31</f>
        <v>0.37738916142169571</v>
      </c>
      <c r="J31" s="48">
        <f t="shared" ref="J31" si="39">SUM(J21:J30)</f>
        <v>206.10000000000002</v>
      </c>
      <c r="K31" s="118">
        <f>(K21*S21+K22*S22+K23*S23+K24*S24+K25*S25+K26*S26+K27*S27+K28*S28+K29*S29+K30*S30)/S31</f>
        <v>2.0740389361964704E-3</v>
      </c>
      <c r="L31" s="48">
        <f t="shared" si="37"/>
        <v>0</v>
      </c>
      <c r="M31" s="118">
        <f>(M21*S21+M22*S22+M23*S23+M24*S24+M25*S25+M26*S26+M27*S27+M28*S28+M29*S29+M30*S30)/S31</f>
        <v>0.39436080772553384</v>
      </c>
      <c r="N31" s="118">
        <f>(N21*S21+N22*S22+N23*S23+N24*S24+N25*S25+N26*S26+N27*S27+N28*S28+N29*S29+N30*S30)/S31</f>
        <v>0.39436080772553384</v>
      </c>
      <c r="O31" s="118">
        <f>(O21*S21+O22*S22+O23*S23+O24*S24+O25*S25+O26*S26+O27*S27+O28*S28+O29*S29+O30*S30)/S31</f>
        <v>0.32666012043236359</v>
      </c>
      <c r="P31" s="118">
        <f>(P21*S21+P22*S22+P23*S23+P24*S24+P25*S25+P26*S26+P27*S27+P28*S28+P29*S29+P30*S30)/S31</f>
        <v>0.12992853727014686</v>
      </c>
      <c r="Q31" s="118">
        <f>(Q21*S21+Q22*S22+Q23*S23+Q24*S24+Q25*S25+Q26*S26+Q27*S27+Q28*S28+Q29*S29+Q30*S30)/S31</f>
        <v>0</v>
      </c>
      <c r="R31" s="135">
        <f>SUM(R21:R30)</f>
        <v>673799</v>
      </c>
      <c r="S31" s="48">
        <f>SUM(S21:S30)</f>
        <v>592</v>
      </c>
      <c r="V31" s="64"/>
      <c r="W31" s="15"/>
      <c r="X31" s="15"/>
      <c r="AA31" s="5"/>
      <c r="AB31" s="72"/>
      <c r="AC31" s="72"/>
    </row>
    <row r="32" spans="1:31" x14ac:dyDescent="0.25">
      <c r="A32" s="16" t="s">
        <v>40</v>
      </c>
      <c r="B32" s="37" t="s">
        <v>47</v>
      </c>
      <c r="C32" s="8">
        <f>SUM('KPI_FY 24-25'!C34,'KPI_FY 24-25'!Y34,'KPI_FY 24-25'!AU34,'KPI_FY 24-25'!BQ34,'KPI_FY 24-25'!CM34,'KPI_FY 24-25'!DI34,'KPI_FY 24-25'!EE34,'KPI_FY 24-25'!FA34,'KPI_FY 24-25'!FW34,'KPI_FY 24-25'!GS34,'KPI_FY 24-25'!HO34,'KPI_FY 24-25'!IK34)</f>
        <v>7166</v>
      </c>
      <c r="D32" s="8">
        <f>SUM('KPI_FY 24-25'!D34,'KPI_FY 24-25'!Z34,'KPI_FY 24-25'!AV34,'KPI_FY 24-25'!BR34,'KPI_FY 24-25'!CN34,'KPI_FY 24-25'!DJ34,'KPI_FY 24-25'!EF34,'KPI_FY 24-25'!FB34,'KPI_FY 24-25'!FX34,'KPI_FY 24-25'!GT34,'KPI_FY 24-25'!HP34,'KPI_FY 24-25'!IL34)</f>
        <v>1670.6000000000001</v>
      </c>
      <c r="E32" s="8">
        <f>SUM('KPI_FY 24-25'!E34,'KPI_FY 24-25'!AA34,'KPI_FY 24-25'!AW34,'KPI_FY 24-25'!BS34,'KPI_FY 24-25'!CO34,'KPI_FY 24-25'!DK34,'KPI_FY 24-25'!EG34,'KPI_FY 24-25'!FC34,'KPI_FY 24-25'!FY34,'KPI_FY 24-25'!GU34,'KPI_FY 24-25'!HQ34,'KPI_FY 24-25'!IM34)</f>
        <v>5495.4</v>
      </c>
      <c r="F32" s="8">
        <f>SUM('KPI_FY 24-25'!F34,'KPI_FY 24-25'!AB34,'KPI_FY 24-25'!AX34,'KPI_FY 24-25'!BT34,'KPI_FY 24-25'!CP34,'KPI_FY 24-25'!DL34,'KPI_FY 24-25'!EH34,'KPI_FY 24-25'!FD34,'KPI_FY 24-25'!FZ34,'KPI_FY 24-25'!GV34,'KPI_FY 24-25'!HR34,'KPI_FY 24-25'!IN34)</f>
        <v>1594</v>
      </c>
      <c r="G32" s="6">
        <f>(F32/$B$2)</f>
        <v>0.1819634703196347</v>
      </c>
      <c r="H32" s="8">
        <f>SUM('KPI_FY 24-25'!H34,'KPI_FY 24-25'!AD34,'KPI_FY 24-25'!AZ34,'KPI_FY 24-25'!BV34,'KPI_FY 24-25'!CR34,'KPI_FY 24-25'!DN34,'KPI_FY 24-25'!EJ34,'KPI_FY 24-25'!FF34,'KPI_FY 24-25'!GB34,'KPI_FY 24-25'!GX34,'KPI_FY 24-25'!HT34,'KPI_FY 24-25'!IP34)</f>
        <v>0</v>
      </c>
      <c r="I32" s="6">
        <f>(H32/$B$2)</f>
        <v>0</v>
      </c>
      <c r="J32" s="6">
        <f>SUM('KPI_FY 24-25'!J34,'KPI_FY 24-25'!AF34,'KPI_FY 24-25'!BB34,'KPI_FY 24-25'!BX34,'KPI_FY 24-25'!CT34,'KPI_FY 24-25'!DP34,'KPI_FY 24-25'!EL34,'KPI_FY 24-25'!FH34,'KPI_FY 24-25'!GD34,'KPI_FY 24-25'!GZ34,'KPI_FY 24-25'!HV34,'KPI_FY 24-25'!IR34)</f>
        <v>0</v>
      </c>
      <c r="K32" s="6">
        <f>(J32/$B$2)</f>
        <v>0</v>
      </c>
      <c r="L32" s="8">
        <f>SUM('KPI_FY 24-25'!L34,'KPI_FY 24-25'!AH34,'KPI_FY 24-25'!BD34,'KPI_FY 24-25'!BZ34,'KPI_FY 24-25'!CV34,'KPI_FY 24-25'!DR34,'KPI_FY 24-25'!EN34,'KPI_FY 24-25'!FJ34,'KPI_FY 24-25'!GF34,'KPI_FY 24-25'!HB34,'KPI_FY 24-25'!HX34,'KPI_FY 24-25'!IT34)</f>
        <v>0</v>
      </c>
      <c r="M32" s="6">
        <f>(C32/$B$2)</f>
        <v>0.81803652968036533</v>
      </c>
      <c r="N32" s="6">
        <f>((C32-L32)/$B$2)</f>
        <v>0.81803652968036533</v>
      </c>
      <c r="O32" s="18">
        <f>IF((AND(D32=0,F32=0)),0,(F32+L32)/(D32+F32+L32))</f>
        <v>0.48826808797402432</v>
      </c>
      <c r="P32" s="6">
        <f>(R32/($B$2*S32))</f>
        <v>0.15600674059578168</v>
      </c>
      <c r="Q32" s="6">
        <f>(L32/$B$2)</f>
        <v>0</v>
      </c>
      <c r="R32" s="137">
        <f>SUM('KPI_FY 24-25'!T34,'KPI_FY 24-25'!AP34,'KPI_FY 24-25'!BL34,'KPI_FY 24-25'!CH34,'KPI_FY 24-25'!DD34,'KPI_FY 24-25'!DZ34,'KPI_FY 24-25'!EV34,'KPI_FY 24-25'!FR34,'KPI_FY 24-25'!GN34,'KPI_FY 24-25'!HJ34,'KPI_FY 24-25'!IF34,'KPI_FY 24-25'!JB34)</f>
        <v>28699</v>
      </c>
      <c r="S32" s="8">
        <v>21</v>
      </c>
      <c r="T32" s="132">
        <f>N32+K32+I32+G32+Q32</f>
        <v>1</v>
      </c>
      <c r="W32" s="8"/>
      <c r="X32" s="15"/>
      <c r="AB32" s="72"/>
      <c r="AC32" s="72"/>
    </row>
    <row r="33" spans="1:24" x14ac:dyDescent="0.25">
      <c r="A33" s="16" t="s">
        <v>41</v>
      </c>
      <c r="B33" s="37" t="s">
        <v>48</v>
      </c>
      <c r="C33" s="8">
        <f>SUM('KPI_FY 24-25'!C35,'KPI_FY 24-25'!Y35,'KPI_FY 24-25'!AU35,'KPI_FY 24-25'!BQ35,'KPI_FY 24-25'!CM35,'KPI_FY 24-25'!DI35,'KPI_FY 24-25'!EE35,'KPI_FY 24-25'!FA35,'KPI_FY 24-25'!FW35,'KPI_FY 24-25'!GS35,'KPI_FY 24-25'!HO35,'KPI_FY 24-25'!IK35)</f>
        <v>8708</v>
      </c>
      <c r="D33" s="8">
        <f>SUM('KPI_FY 24-25'!D35,'KPI_FY 24-25'!Z35,'KPI_FY 24-25'!AV35,'KPI_FY 24-25'!BR35,'KPI_FY 24-25'!CN35,'KPI_FY 24-25'!DJ35,'KPI_FY 24-25'!EF35,'KPI_FY 24-25'!FB35,'KPI_FY 24-25'!FX35,'KPI_FY 24-25'!GT35,'KPI_FY 24-25'!HP35,'KPI_FY 24-25'!IL35)</f>
        <v>2243.8999999999996</v>
      </c>
      <c r="E33" s="8">
        <f>SUM('KPI_FY 24-25'!E35,'KPI_FY 24-25'!AA35,'KPI_FY 24-25'!AW35,'KPI_FY 24-25'!BS35,'KPI_FY 24-25'!CO35,'KPI_FY 24-25'!DK35,'KPI_FY 24-25'!EG35,'KPI_FY 24-25'!FC35,'KPI_FY 24-25'!FY35,'KPI_FY 24-25'!GU35,'KPI_FY 24-25'!HQ35,'KPI_FY 24-25'!IM35)</f>
        <v>6464.0999999999985</v>
      </c>
      <c r="F33" s="8">
        <f>SUM('KPI_FY 24-25'!F35,'KPI_FY 24-25'!AB35,'KPI_FY 24-25'!AX35,'KPI_FY 24-25'!BT35,'KPI_FY 24-25'!CP35,'KPI_FY 24-25'!DL35,'KPI_FY 24-25'!EH35,'KPI_FY 24-25'!FD35,'KPI_FY 24-25'!FZ35,'KPI_FY 24-25'!GV35,'KPI_FY 24-25'!HR35,'KPI_FY 24-25'!IN35)</f>
        <v>52</v>
      </c>
      <c r="G33" s="6">
        <f t="shared" ref="G33:G34" si="40">(F33/$B$2)</f>
        <v>5.9360730593607308E-3</v>
      </c>
      <c r="H33" s="8">
        <f>SUM('KPI_FY 24-25'!H35,'KPI_FY 24-25'!AD35,'KPI_FY 24-25'!AZ35,'KPI_FY 24-25'!BV35,'KPI_FY 24-25'!CR35,'KPI_FY 24-25'!DN35,'KPI_FY 24-25'!EJ35,'KPI_FY 24-25'!FF35,'KPI_FY 24-25'!GB35,'KPI_FY 24-25'!GX35,'KPI_FY 24-25'!HT35,'KPI_FY 24-25'!IP35)</f>
        <v>0</v>
      </c>
      <c r="I33" s="6">
        <f t="shared" ref="I33:I34" si="41">(H33/$B$2)</f>
        <v>0</v>
      </c>
      <c r="J33" s="6">
        <f>SUM('KPI_FY 24-25'!J35,'KPI_FY 24-25'!AF35,'KPI_FY 24-25'!BB35,'KPI_FY 24-25'!BX35,'KPI_FY 24-25'!CT35,'KPI_FY 24-25'!DP35,'KPI_FY 24-25'!EL35,'KPI_FY 24-25'!FH35,'KPI_FY 24-25'!GD35,'KPI_FY 24-25'!GZ35,'KPI_FY 24-25'!HV35,'KPI_FY 24-25'!IR35)</f>
        <v>0</v>
      </c>
      <c r="K33" s="6">
        <f t="shared" ref="K33:K34" si="42">(J33/$B$2)</f>
        <v>0</v>
      </c>
      <c r="L33" s="8">
        <f>SUM('KPI_FY 24-25'!L35,'KPI_FY 24-25'!AH35,'KPI_FY 24-25'!BD35,'KPI_FY 24-25'!BZ35,'KPI_FY 24-25'!CV35,'KPI_FY 24-25'!DR35,'KPI_FY 24-25'!EN35,'KPI_FY 24-25'!FJ35,'KPI_FY 24-25'!GF35,'KPI_FY 24-25'!HB35,'KPI_FY 24-25'!HX35,'KPI_FY 24-25'!IT35)</f>
        <v>0</v>
      </c>
      <c r="M33" s="6">
        <f t="shared" ref="M33:M34" si="43">(C33/$B$2)</f>
        <v>0.99406392694063928</v>
      </c>
      <c r="N33" s="6">
        <f t="shared" ref="N33:N34" si="44">((C33-L33)/$B$2)</f>
        <v>0.99406392694063928</v>
      </c>
      <c r="O33" s="18">
        <f t="shared" ref="O33:O34" si="45">IF((AND(D33=0,F33=0)),0,(F33+L33)/(D33+F33+L33))</f>
        <v>2.2649070081449545E-2</v>
      </c>
      <c r="P33" s="6">
        <f t="shared" ref="P33:P34" si="46">(R33/($B$2*S33))</f>
        <v>0.22513046314416177</v>
      </c>
      <c r="Q33" s="6">
        <f t="shared" ref="Q33:Q34" si="47">(L33/$B$2)</f>
        <v>0</v>
      </c>
      <c r="R33" s="137">
        <f>SUM('KPI_FY 24-25'!T35,'KPI_FY 24-25'!AP35,'KPI_FY 24-25'!BL35,'KPI_FY 24-25'!CH35,'KPI_FY 24-25'!DD35,'KPI_FY 24-25'!DZ35,'KPI_FY 24-25'!EV35,'KPI_FY 24-25'!FR35,'KPI_FY 24-25'!GN35,'KPI_FY 24-25'!HJ35,'KPI_FY 24-25'!IF35,'KPI_FY 24-25'!JB35)</f>
        <v>41415</v>
      </c>
      <c r="S33" s="8">
        <v>21</v>
      </c>
      <c r="T33" s="132">
        <f t="shared" ref="T33:T34" si="48">N33+K33+I33+G33+Q33</f>
        <v>1</v>
      </c>
    </row>
    <row r="34" spans="1:24" x14ac:dyDescent="0.25">
      <c r="A34" s="8"/>
      <c r="B34" s="37" t="s">
        <v>52</v>
      </c>
      <c r="C34" s="8">
        <f>SUM('KPI_FY 24-25'!C36,'KPI_FY 24-25'!Y36,'KPI_FY 24-25'!AU36,'KPI_FY 24-25'!BQ36,'KPI_FY 24-25'!CM36,'KPI_FY 24-25'!DI36,'KPI_FY 24-25'!EE36,'KPI_FY 24-25'!FA36,'KPI_FY 24-25'!FW36,'KPI_FY 24-25'!GS36,'KPI_FY 24-25'!HO36,'KPI_FY 24-25'!IK36)</f>
        <v>4881.7</v>
      </c>
      <c r="D34" s="8">
        <f>SUM('KPI_FY 24-25'!D36,'KPI_FY 24-25'!Z36,'KPI_FY 24-25'!AV36,'KPI_FY 24-25'!BR36,'KPI_FY 24-25'!CN36,'KPI_FY 24-25'!DJ36,'KPI_FY 24-25'!EF36,'KPI_FY 24-25'!FB36,'KPI_FY 24-25'!FX36,'KPI_FY 24-25'!GT36,'KPI_FY 24-25'!HP36,'KPI_FY 24-25'!IL36)</f>
        <v>1136.7000000000003</v>
      </c>
      <c r="E34" s="8">
        <f>SUM('KPI_FY 24-25'!E36,'KPI_FY 24-25'!AA36,'KPI_FY 24-25'!AW36,'KPI_FY 24-25'!BS36,'KPI_FY 24-25'!CO36,'KPI_FY 24-25'!DK36,'KPI_FY 24-25'!EG36,'KPI_FY 24-25'!FC36,'KPI_FY 24-25'!FY36,'KPI_FY 24-25'!GU36,'KPI_FY 24-25'!HQ36,'KPI_FY 24-25'!IM36)</f>
        <v>3744.9999999999995</v>
      </c>
      <c r="F34" s="8">
        <f>SUM('KPI_FY 24-25'!F36,'KPI_FY 24-25'!AB36,'KPI_FY 24-25'!AX36,'KPI_FY 24-25'!BT36,'KPI_FY 24-25'!CP36,'KPI_FY 24-25'!DL36,'KPI_FY 24-25'!EH36,'KPI_FY 24-25'!FD36,'KPI_FY 24-25'!FZ36,'KPI_FY 24-25'!GV36,'KPI_FY 24-25'!HR36,'KPI_FY 24-25'!IN36)</f>
        <v>3878.3</v>
      </c>
      <c r="G34" s="6">
        <f t="shared" si="40"/>
        <v>0.44272831050228312</v>
      </c>
      <c r="H34" s="8">
        <f>SUM('KPI_FY 24-25'!H36,'KPI_FY 24-25'!AD36,'KPI_FY 24-25'!AZ36,'KPI_FY 24-25'!BV36,'KPI_FY 24-25'!CR36,'KPI_FY 24-25'!DN36,'KPI_FY 24-25'!EJ36,'KPI_FY 24-25'!FF36,'KPI_FY 24-25'!GB36,'KPI_FY 24-25'!GX36,'KPI_FY 24-25'!HT36,'KPI_FY 24-25'!IP36)</f>
        <v>0</v>
      </c>
      <c r="I34" s="6">
        <f t="shared" si="41"/>
        <v>0</v>
      </c>
      <c r="J34" s="6">
        <f>SUM('KPI_FY 24-25'!J36,'KPI_FY 24-25'!AF36,'KPI_FY 24-25'!BB36,'KPI_FY 24-25'!BX36,'KPI_FY 24-25'!CT36,'KPI_FY 24-25'!DP36,'KPI_FY 24-25'!EL36,'KPI_FY 24-25'!FH36,'KPI_FY 24-25'!GD36,'KPI_FY 24-25'!GZ36,'KPI_FY 24-25'!HV36,'KPI_FY 24-25'!IR36)</f>
        <v>0</v>
      </c>
      <c r="K34" s="6">
        <f t="shared" si="42"/>
        <v>0</v>
      </c>
      <c r="L34" s="8">
        <f>SUM('KPI_FY 24-25'!L36,'KPI_FY 24-25'!AH36,'KPI_FY 24-25'!BD36,'KPI_FY 24-25'!BZ36,'KPI_FY 24-25'!CV36,'KPI_FY 24-25'!DR36,'KPI_FY 24-25'!EN36,'KPI_FY 24-25'!FJ36,'KPI_FY 24-25'!GF36,'KPI_FY 24-25'!HB36,'KPI_FY 24-25'!HX36,'KPI_FY 24-25'!IT36)</f>
        <v>0</v>
      </c>
      <c r="M34" s="6">
        <f t="shared" si="43"/>
        <v>0.55727168949771688</v>
      </c>
      <c r="N34" s="6">
        <f t="shared" si="44"/>
        <v>0.55727168949771688</v>
      </c>
      <c r="O34" s="18">
        <f t="shared" si="45"/>
        <v>0.77333998005982052</v>
      </c>
      <c r="P34" s="6">
        <f t="shared" si="46"/>
        <v>0.10235920852359208</v>
      </c>
      <c r="Q34" s="6">
        <f t="shared" si="47"/>
        <v>0</v>
      </c>
      <c r="R34" s="137">
        <f>SUM('KPI_FY 24-25'!T36,'KPI_FY 24-25'!AP36,'KPI_FY 24-25'!BL36,'KPI_FY 24-25'!CH36,'KPI_FY 24-25'!DD36,'KPI_FY 24-25'!DZ36,'KPI_FY 24-25'!EV36,'KPI_FY 24-25'!FR36,'KPI_FY 24-25'!GN36,'KPI_FY 24-25'!HJ36,'KPI_FY 24-25'!IF36,'KPI_FY 24-25'!JB36)</f>
        <v>18830</v>
      </c>
      <c r="S34" s="8">
        <v>21</v>
      </c>
      <c r="T34" s="132">
        <f t="shared" si="48"/>
        <v>1</v>
      </c>
      <c r="V34" s="64"/>
      <c r="X34" s="6"/>
    </row>
    <row r="35" spans="1:24" ht="30" x14ac:dyDescent="0.25">
      <c r="A35" s="8"/>
      <c r="B35" s="32" t="s">
        <v>84</v>
      </c>
      <c r="C35" s="128">
        <f>SUM(C32:C34)</f>
        <v>20755.7</v>
      </c>
      <c r="D35" s="128">
        <f t="shared" ref="D35:L35" si="49">SUM(D32:D34)</f>
        <v>5051.2000000000007</v>
      </c>
      <c r="E35" s="128">
        <f t="shared" ref="E35" si="50">SUM(E32:E34)</f>
        <v>15704.499999999998</v>
      </c>
      <c r="F35" s="128">
        <f t="shared" si="49"/>
        <v>5524.3</v>
      </c>
      <c r="G35" s="118">
        <f>(G32*S32+G33*S33+G34*S34)/S35</f>
        <v>0.21020928462709285</v>
      </c>
      <c r="H35" s="48">
        <f t="shared" si="49"/>
        <v>0</v>
      </c>
      <c r="I35" s="118">
        <f>(I32*S32+I33*S33+I34*S34)/S35</f>
        <v>0</v>
      </c>
      <c r="J35" s="48">
        <f t="shared" ref="J35" si="51">SUM(J32:J34)</f>
        <v>0</v>
      </c>
      <c r="K35" s="118">
        <f>(K32*S32+K33*S33+K34*S34)/S35</f>
        <v>0</v>
      </c>
      <c r="L35" s="48">
        <f t="shared" si="49"/>
        <v>0</v>
      </c>
      <c r="M35" s="118">
        <f>(M32*S32+M33*S33+M34*S34)/S35</f>
        <v>0.78979071537290713</v>
      </c>
      <c r="N35" s="118">
        <f>(N32*S32+N33*S33+N34*S34)/S35</f>
        <v>0.78979071537290713</v>
      </c>
      <c r="O35" s="118">
        <f>(O32*S32+O33*S33+O34*S34)/S35</f>
        <v>0.4280857127050981</v>
      </c>
      <c r="P35" s="118">
        <f>(P32*S32+P33*S33+P34*S34)/S35</f>
        <v>0.16116547075451185</v>
      </c>
      <c r="Q35" s="118">
        <f>(Q32*S32+Q33*S33+Q34*S34)/S35</f>
        <v>0</v>
      </c>
      <c r="R35" s="135">
        <f>SUM(R32:R34)</f>
        <v>88944</v>
      </c>
      <c r="S35" s="48">
        <f>SUM(S32:S34)</f>
        <v>63</v>
      </c>
      <c r="U35" s="58" t="s">
        <v>97</v>
      </c>
      <c r="V35" s="64">
        <f>V23+V24</f>
        <v>1671</v>
      </c>
    </row>
    <row r="36" spans="1:24" x14ac:dyDescent="0.25">
      <c r="A36" s="16" t="s">
        <v>42</v>
      </c>
      <c r="B36" s="37" t="s">
        <v>47</v>
      </c>
      <c r="C36" s="8">
        <f>SUM('KPI_FY 24-25'!C38,'KPI_FY 24-25'!Y38,'KPI_FY 24-25'!AU38,'KPI_FY 24-25'!BQ38,'KPI_FY 24-25'!CM38,'KPI_FY 24-25'!DI38,'KPI_FY 24-25'!EE38,'KPI_FY 24-25'!FA38,'KPI_FY 24-25'!FW38,'KPI_FY 24-25'!GS38,'KPI_FY 24-25'!HO38,'KPI_FY 24-25'!IK38)</f>
        <v>24</v>
      </c>
      <c r="D36" s="8">
        <f>SUM('KPI_FY 24-25'!D38,'KPI_FY 24-25'!Z38,'KPI_FY 24-25'!AV38,'KPI_FY 24-25'!BR38,'KPI_FY 24-25'!CN38,'KPI_FY 24-25'!DJ38,'KPI_FY 24-25'!EF38,'KPI_FY 24-25'!FB38,'KPI_FY 24-25'!FX38,'KPI_FY 24-25'!GT38,'KPI_FY 24-25'!HP38,'KPI_FY 24-25'!IL38)</f>
        <v>0</v>
      </c>
      <c r="E36" s="8">
        <f>SUM('KPI_FY 24-25'!E38,'KPI_FY 24-25'!AA38,'KPI_FY 24-25'!AW38,'KPI_FY 24-25'!BS38,'KPI_FY 24-25'!CO38,'KPI_FY 24-25'!DK38,'KPI_FY 24-25'!EG38,'KPI_FY 24-25'!FC38,'KPI_FY 24-25'!FY38,'KPI_FY 24-25'!GU38,'KPI_FY 24-25'!HQ38,'KPI_FY 24-25'!IM38)</f>
        <v>24</v>
      </c>
      <c r="F36" s="8">
        <f>SUM('KPI_FY 24-25'!F38,'KPI_FY 24-25'!AB38,'KPI_FY 24-25'!AX38,'KPI_FY 24-25'!BT38,'KPI_FY 24-25'!CP38,'KPI_FY 24-25'!DL38,'KPI_FY 24-25'!EH38,'KPI_FY 24-25'!FD38,'KPI_FY 24-25'!FZ38,'KPI_FY 24-25'!GV38,'KPI_FY 24-25'!HR38,'KPI_FY 24-25'!IN38)</f>
        <v>8736</v>
      </c>
      <c r="G36" s="6">
        <f>(F36/$B$2)</f>
        <v>0.99726027397260275</v>
      </c>
      <c r="H36" s="8">
        <f>SUM('KPI_FY 24-25'!H38,'KPI_FY 24-25'!AD38,'KPI_FY 24-25'!AZ38,'KPI_FY 24-25'!BV38,'KPI_FY 24-25'!CR38,'KPI_FY 24-25'!DN38,'KPI_FY 24-25'!EJ38,'KPI_FY 24-25'!FF38,'KPI_FY 24-25'!GB38,'KPI_FY 24-25'!GX38,'KPI_FY 24-25'!HT38,'KPI_FY 24-25'!IP38)</f>
        <v>0</v>
      </c>
      <c r="I36" s="6">
        <f>(H36/$B$2)</f>
        <v>0</v>
      </c>
      <c r="J36" s="6">
        <f>SUM('KPI_FY 24-25'!J38,'KPI_FY 24-25'!AF38,'KPI_FY 24-25'!BB38,'KPI_FY 24-25'!BX38,'KPI_FY 24-25'!CT38,'KPI_FY 24-25'!DP38,'KPI_FY 24-25'!EL38,'KPI_FY 24-25'!FH38,'KPI_FY 24-25'!GD38,'KPI_FY 24-25'!GZ38,'KPI_FY 24-25'!HV38,'KPI_FY 24-25'!IR38)</f>
        <v>0</v>
      </c>
      <c r="K36" s="6">
        <f>(J36/$B$2)</f>
        <v>0</v>
      </c>
      <c r="L36" s="8">
        <f>SUM('KPI_FY 24-25'!L38,'KPI_FY 24-25'!AH38,'KPI_FY 24-25'!BD38,'KPI_FY 24-25'!BZ38,'KPI_FY 24-25'!CV38,'KPI_FY 24-25'!DR38,'KPI_FY 24-25'!EN38,'KPI_FY 24-25'!FJ38,'KPI_FY 24-25'!GF38,'KPI_FY 24-25'!HB38,'KPI_FY 24-25'!HX38,'KPI_FY 24-25'!IT38)</f>
        <v>0</v>
      </c>
      <c r="M36" s="6">
        <f>(C36/$B$2)</f>
        <v>2.7397260273972603E-3</v>
      </c>
      <c r="N36" s="6">
        <f>((C36-L36)/$B$2)</f>
        <v>2.7397260273972603E-3</v>
      </c>
      <c r="O36" s="18">
        <f>IF((AND(D36=0,F36=0)),0,(F36+L36)/(D36+F36+L36))</f>
        <v>1</v>
      </c>
      <c r="P36" s="6">
        <f>(R36/($B$2*S36))</f>
        <v>0</v>
      </c>
      <c r="Q36" s="6">
        <f>(L36/$B$2)</f>
        <v>0</v>
      </c>
      <c r="R36" s="9">
        <f>SUM('KPI_FY 24-25'!T38,'KPI_FY 24-25'!AP38,'KPI_FY 24-25'!BL38,'KPI_FY 24-25'!CH38,'KPI_FY 24-25'!DD38,'KPI_FY 24-25'!DZ38,'KPI_FY 24-25'!EV38,'KPI_FY 24-25'!FR38,'KPI_FY 24-25'!GN38,'KPI_FY 24-25'!HJ38,'KPI_FY 24-25'!IF38,'KPI_FY 24-25'!JB38)</f>
        <v>0</v>
      </c>
      <c r="S36" s="8">
        <v>21</v>
      </c>
      <c r="T36" s="132">
        <f>N36+K36+I36+G36+Q36</f>
        <v>1</v>
      </c>
    </row>
    <row r="37" spans="1:24" x14ac:dyDescent="0.25">
      <c r="A37" s="16" t="s">
        <v>43</v>
      </c>
      <c r="B37" s="37" t="s">
        <v>48</v>
      </c>
      <c r="C37" s="8">
        <f>SUM('KPI_FY 24-25'!C39,'KPI_FY 24-25'!Y39,'KPI_FY 24-25'!AU39,'KPI_FY 24-25'!BQ39,'KPI_FY 24-25'!CM39,'KPI_FY 24-25'!DI39,'KPI_FY 24-25'!EE39,'KPI_FY 24-25'!FA39,'KPI_FY 24-25'!FW39,'KPI_FY 24-25'!GS39,'KPI_FY 24-25'!HO39,'KPI_FY 24-25'!IK39)</f>
        <v>142.90000000000006</v>
      </c>
      <c r="D37" s="8">
        <f>SUM('KPI_FY 24-25'!D39,'KPI_FY 24-25'!Z39,'KPI_FY 24-25'!AV39,'KPI_FY 24-25'!BR39,'KPI_FY 24-25'!CN39,'KPI_FY 24-25'!DJ39,'KPI_FY 24-25'!EF39,'KPI_FY 24-25'!FB39,'KPI_FY 24-25'!FX39,'KPI_FY 24-25'!GT39,'KPI_FY 24-25'!HP39,'KPI_FY 24-25'!IL39)</f>
        <v>109.20000000000002</v>
      </c>
      <c r="E37" s="8">
        <f>SUM('KPI_FY 24-25'!E39,'KPI_FY 24-25'!AA39,'KPI_FY 24-25'!AW39,'KPI_FY 24-25'!BS39,'KPI_FY 24-25'!CO39,'KPI_FY 24-25'!DK39,'KPI_FY 24-25'!EG39,'KPI_FY 24-25'!FC39,'KPI_FY 24-25'!FY39,'KPI_FY 24-25'!GU39,'KPI_FY 24-25'!HQ39,'KPI_FY 24-25'!IM39)</f>
        <v>33.700000000000003</v>
      </c>
      <c r="F37" s="8">
        <f>SUM('KPI_FY 24-25'!F39,'KPI_FY 24-25'!AB39,'KPI_FY 24-25'!AX39,'KPI_FY 24-25'!BT39,'KPI_FY 24-25'!CP39,'KPI_FY 24-25'!DL39,'KPI_FY 24-25'!EH39,'KPI_FY 24-25'!FD39,'KPI_FY 24-25'!FZ39,'KPI_FY 24-25'!GV39,'KPI_FY 24-25'!HR39,'KPI_FY 24-25'!IN39)</f>
        <v>8617.1</v>
      </c>
      <c r="G37" s="6">
        <f>(F37/$B$2)</f>
        <v>0.98368721461187214</v>
      </c>
      <c r="H37" s="8">
        <f>SUM('KPI_FY 24-25'!H39,'KPI_FY 24-25'!AD39,'KPI_FY 24-25'!AZ39,'KPI_FY 24-25'!BV39,'KPI_FY 24-25'!CR39,'KPI_FY 24-25'!DN39,'KPI_FY 24-25'!EJ39,'KPI_FY 24-25'!FF39,'KPI_FY 24-25'!GB39,'KPI_FY 24-25'!GX39,'KPI_FY 24-25'!HT39,'KPI_FY 24-25'!IP39)</f>
        <v>0</v>
      </c>
      <c r="I37" s="6">
        <f>(H37/$B$2)</f>
        <v>0</v>
      </c>
      <c r="J37" s="6">
        <f>SUM('KPI_FY 24-25'!J39,'KPI_FY 24-25'!AF39,'KPI_FY 24-25'!BB39,'KPI_FY 24-25'!BX39,'KPI_FY 24-25'!CT39,'KPI_FY 24-25'!DP39,'KPI_FY 24-25'!EL39,'KPI_FY 24-25'!FH39,'KPI_FY 24-25'!GD39,'KPI_FY 24-25'!GZ39,'KPI_FY 24-25'!HV39,'KPI_FY 24-25'!IR39)</f>
        <v>0</v>
      </c>
      <c r="K37" s="6">
        <f>(J37/$B$2)</f>
        <v>0</v>
      </c>
      <c r="L37" s="8">
        <f>SUM('KPI_FY 24-25'!L39,'KPI_FY 24-25'!AH39,'KPI_FY 24-25'!BD39,'KPI_FY 24-25'!BZ39,'KPI_FY 24-25'!CV39,'KPI_FY 24-25'!DR39,'KPI_FY 24-25'!EN39,'KPI_FY 24-25'!FJ39,'KPI_FY 24-25'!GF39,'KPI_FY 24-25'!HB39,'KPI_FY 24-25'!HX39,'KPI_FY 24-25'!IT39)</f>
        <v>0</v>
      </c>
      <c r="M37" s="6">
        <f>(C37/$B$2)</f>
        <v>1.6312785388127859E-2</v>
      </c>
      <c r="N37" s="6">
        <f>((C37-L37)/$B$2)</f>
        <v>1.6312785388127859E-2</v>
      </c>
      <c r="O37" s="18">
        <f>IF((AND(D37=0,F37=0)),0,(F37+L37)/(D37+F37+L37))</f>
        <v>0.98748610522214442</v>
      </c>
      <c r="P37" s="6">
        <f>(R37/($B$2*S37))</f>
        <v>9.6607958251793864E-3</v>
      </c>
      <c r="Q37" s="6">
        <f>(L37/$B$2)</f>
        <v>0</v>
      </c>
      <c r="R37" s="138">
        <f>SUM('KPI_FY 24-25'!T39,'KPI_FY 24-25'!AP39,'KPI_FY 24-25'!BL39,'KPI_FY 24-25'!CH39,'KPI_FY 24-25'!DD39,'KPI_FY 24-25'!DZ39,'KPI_FY 24-25'!EV39,'KPI_FY 24-25'!FR39,'KPI_FY 24-25'!GN39,'KPI_FY 24-25'!HJ39,'KPI_FY 24-25'!IF39,'KPI_FY 24-25'!JB39)</f>
        <v>1777.2</v>
      </c>
      <c r="S37" s="8">
        <v>21</v>
      </c>
      <c r="T37" s="132">
        <f t="shared" ref="T37" si="52">N37+K37+I37+G37+Q37</f>
        <v>1</v>
      </c>
    </row>
    <row r="38" spans="1:24" x14ac:dyDescent="0.25">
      <c r="A38" s="16"/>
      <c r="B38" s="32" t="s">
        <v>84</v>
      </c>
      <c r="C38" s="48">
        <f>SUM(C36:C37)</f>
        <v>166.90000000000006</v>
      </c>
      <c r="D38" s="48">
        <f t="shared" ref="D38:E38" si="53">SUM(D36:D37)</f>
        <v>109.20000000000002</v>
      </c>
      <c r="E38" s="48">
        <f t="shared" si="53"/>
        <v>57.7</v>
      </c>
      <c r="F38" s="128">
        <f t="shared" ref="F38" si="54">SUM(F36:F37)</f>
        <v>17353.099999999999</v>
      </c>
      <c r="G38" s="118">
        <f>(G36*S36+G37*S37)/S38</f>
        <v>0.99047374429223733</v>
      </c>
      <c r="H38" s="48">
        <f t="shared" ref="H38:J38" si="55">SUM(H36:H37)</f>
        <v>0</v>
      </c>
      <c r="I38" s="118">
        <f>(I36*S36+I37*S37)/S38</f>
        <v>0</v>
      </c>
      <c r="J38" s="48">
        <f t="shared" si="55"/>
        <v>0</v>
      </c>
      <c r="K38" s="118">
        <f>(K36*S36+K37*S37)/S38</f>
        <v>0</v>
      </c>
      <c r="L38" s="48">
        <f t="shared" ref="L38" si="56">SUM(L36:L37)</f>
        <v>0</v>
      </c>
      <c r="M38" s="118">
        <f>(M36*S36+M37*S37)/S38</f>
        <v>9.5262557077625595E-3</v>
      </c>
      <c r="N38" s="118">
        <f>(N36*S36+N37*S37)/S38</f>
        <v>9.5262557077625595E-3</v>
      </c>
      <c r="O38" s="118">
        <f>(O36*S36+O37*S37)/S38</f>
        <v>0.99374305261107221</v>
      </c>
      <c r="P38" s="118">
        <f>(P36*S36+P37*S37)/S38</f>
        <v>4.8303979125896932E-3</v>
      </c>
      <c r="Q38" s="118">
        <f>(Q36*S36+Q37*S37)/S38</f>
        <v>0</v>
      </c>
      <c r="R38" s="139">
        <f>SUM(R36:R37)</f>
        <v>1777.2</v>
      </c>
      <c r="S38" s="48">
        <f>SUM(S36:S37)</f>
        <v>42</v>
      </c>
      <c r="W38" s="66"/>
      <c r="X38" s="66"/>
    </row>
    <row r="39" spans="1:24" x14ac:dyDescent="0.25">
      <c r="A39" s="74" t="s">
        <v>44</v>
      </c>
      <c r="B39" s="37" t="s">
        <v>52</v>
      </c>
      <c r="C39" s="8">
        <f>SUM('KPI_FY 24-25'!C41,'KPI_FY 24-25'!Y41,'KPI_FY 24-25'!AU41,'KPI_FY 24-25'!BQ41,'KPI_FY 24-25'!CM41,'KPI_FY 24-25'!DI41,'KPI_FY 24-25'!EE41,'KPI_FY 24-25'!FA41,'KPI_FY 24-25'!FW41,'KPI_FY 24-25'!GS41,'KPI_FY 24-25'!HO41,'KPI_FY 24-25'!IK41)</f>
        <v>0</v>
      </c>
      <c r="D39" s="8">
        <f>SUM('KPI_FY 24-25'!D41,'KPI_FY 24-25'!Z41,'KPI_FY 24-25'!AV41,'KPI_FY 24-25'!BR41,'KPI_FY 24-25'!CN41,'KPI_FY 24-25'!DJ41,'KPI_FY 24-25'!EF41,'KPI_FY 24-25'!FB41,'KPI_FY 24-25'!FX41,'KPI_FY 24-25'!GT41,'KPI_FY 24-25'!HP41,'KPI_FY 24-25'!IL41)</f>
        <v>0</v>
      </c>
      <c r="E39" s="8">
        <f>SUM('KPI_FY 24-25'!E41,'KPI_FY 24-25'!AA41,'KPI_FY 24-25'!AW41,'KPI_FY 24-25'!BS41,'KPI_FY 24-25'!CO41,'KPI_FY 24-25'!DK41,'KPI_FY 24-25'!EG41,'KPI_FY 24-25'!FC41,'KPI_FY 24-25'!FY41,'KPI_FY 24-25'!GU41,'KPI_FY 24-25'!HQ41,'KPI_FY 24-25'!IM41)</f>
        <v>0</v>
      </c>
      <c r="F39" s="8">
        <f>SUM('KPI_FY 24-25'!F41,'KPI_FY 24-25'!AB41,'KPI_FY 24-25'!AX41,'KPI_FY 24-25'!BT41,'KPI_FY 24-25'!CP41,'KPI_FY 24-25'!DL41,'KPI_FY 24-25'!EH41,'KPI_FY 24-25'!FD41,'KPI_FY 24-25'!FZ41,'KPI_FY 24-25'!GV41,'KPI_FY 24-25'!HR41,'KPI_FY 24-25'!IN41)</f>
        <v>8760</v>
      </c>
      <c r="G39" s="6">
        <f>(F39/$B$2)</f>
        <v>1</v>
      </c>
      <c r="H39" s="8">
        <f>SUM('KPI_FY 24-25'!H41,'KPI_FY 24-25'!AD41,'KPI_FY 24-25'!AZ41,'KPI_FY 24-25'!BV41,'KPI_FY 24-25'!CR41,'KPI_FY 24-25'!DN41,'KPI_FY 24-25'!EJ41,'KPI_FY 24-25'!FF41,'KPI_FY 24-25'!GB41,'KPI_FY 24-25'!GX41,'KPI_FY 24-25'!HT41,'KPI_FY 24-25'!IP41)</f>
        <v>0</v>
      </c>
      <c r="I39" s="6">
        <f>(H39/$B$2)</f>
        <v>0</v>
      </c>
      <c r="J39" s="6">
        <f>SUM('KPI_FY 24-25'!J41,'KPI_FY 24-25'!AF41,'KPI_FY 24-25'!BB41,'KPI_FY 24-25'!BX41,'KPI_FY 24-25'!CT41,'KPI_FY 24-25'!DP41,'KPI_FY 24-25'!EL41,'KPI_FY 24-25'!FH41,'KPI_FY 24-25'!GD41,'KPI_FY 24-25'!GZ41,'KPI_FY 24-25'!HV41,'KPI_FY 24-25'!IR41)</f>
        <v>0</v>
      </c>
      <c r="K39" s="6">
        <f>(J39/$B$2)</f>
        <v>0</v>
      </c>
      <c r="L39" s="8">
        <f>SUM('KPI_FY 24-25'!L41,'KPI_FY 24-25'!AH41,'KPI_FY 24-25'!BD41,'KPI_FY 24-25'!BZ41,'KPI_FY 24-25'!CV41,'KPI_FY 24-25'!DR41,'KPI_FY 24-25'!EN41,'KPI_FY 24-25'!FJ41,'KPI_FY 24-25'!GF41,'KPI_FY 24-25'!HB41,'KPI_FY 24-25'!HX41,'KPI_FY 24-25'!IT41)</f>
        <v>0</v>
      </c>
      <c r="M39" s="6">
        <f>(C39/$B$2)</f>
        <v>0</v>
      </c>
      <c r="N39" s="6">
        <f>((C39-L39)/$B$2)</f>
        <v>0</v>
      </c>
      <c r="O39" s="18">
        <f>IF((AND(D39=0,F39=0)),0,(F39+L39)/(D39+F39+L39))</f>
        <v>1</v>
      </c>
      <c r="P39" s="6">
        <f>(R39/($B$2*S39))</f>
        <v>0</v>
      </c>
      <c r="Q39" s="6">
        <f>(L39/$B$2)</f>
        <v>0</v>
      </c>
      <c r="R39" s="9">
        <f>SUM('KPI_FY 24-25'!T41,'KPI_FY 24-25'!AP41,'KPI_FY 24-25'!BL41,'KPI_FY 24-25'!CH41,'KPI_FY 24-25'!DD41,'KPI_FY 24-25'!DZ41,'KPI_FY 24-25'!EV41,'KPI_FY 24-25'!FR41,'KPI_FY 24-25'!GN41,'KPI_FY 24-25'!HJ41,'KPI_FY 24-25'!IF41,'KPI_FY 24-25'!JB41)</f>
        <v>0</v>
      </c>
      <c r="S39" s="8">
        <v>21</v>
      </c>
      <c r="T39" s="132">
        <f>N39+K39+I39+G39+Q39</f>
        <v>1</v>
      </c>
      <c r="V39" s="64"/>
      <c r="W39" s="15"/>
      <c r="X39" s="15"/>
    </row>
    <row r="40" spans="1:24" x14ac:dyDescent="0.25">
      <c r="A40" s="8"/>
      <c r="B40" s="37" t="s">
        <v>53</v>
      </c>
      <c r="C40" s="8">
        <f>SUM('KPI_FY 24-25'!C42,'KPI_FY 24-25'!Y42,'KPI_FY 24-25'!AU42,'KPI_FY 24-25'!BQ42,'KPI_FY 24-25'!CM42,'KPI_FY 24-25'!DI42,'KPI_FY 24-25'!EE42,'KPI_FY 24-25'!FA42,'KPI_FY 24-25'!FW42,'KPI_FY 24-25'!GS42,'KPI_FY 24-25'!HO42,'KPI_FY 24-25'!IK42)</f>
        <v>0</v>
      </c>
      <c r="D40" s="8">
        <f>SUM('KPI_FY 24-25'!D42,'KPI_FY 24-25'!Z42,'KPI_FY 24-25'!AV42,'KPI_FY 24-25'!BR42,'KPI_FY 24-25'!CN42,'KPI_FY 24-25'!DJ42,'KPI_FY 24-25'!EF42,'KPI_FY 24-25'!FB42,'KPI_FY 24-25'!FX42,'KPI_FY 24-25'!GT42,'KPI_FY 24-25'!HP42,'KPI_FY 24-25'!IL42)</f>
        <v>0</v>
      </c>
      <c r="E40" s="8">
        <f>SUM('KPI_FY 24-25'!E42,'KPI_FY 24-25'!AA42,'KPI_FY 24-25'!AW42,'KPI_FY 24-25'!BS42,'KPI_FY 24-25'!CO42,'KPI_FY 24-25'!DK42,'KPI_FY 24-25'!EG42,'KPI_FY 24-25'!FC42,'KPI_FY 24-25'!FY42,'KPI_FY 24-25'!GU42,'KPI_FY 24-25'!HQ42,'KPI_FY 24-25'!IM42)</f>
        <v>0</v>
      </c>
      <c r="F40" s="8">
        <f>SUM('KPI_FY 24-25'!F42,'KPI_FY 24-25'!AB42,'KPI_FY 24-25'!AX42,'KPI_FY 24-25'!BT42,'KPI_FY 24-25'!CP42,'KPI_FY 24-25'!DL42,'KPI_FY 24-25'!EH42,'KPI_FY 24-25'!FD42,'KPI_FY 24-25'!FZ42,'KPI_FY 24-25'!GV42,'KPI_FY 24-25'!HR42,'KPI_FY 24-25'!IN42)</f>
        <v>8760</v>
      </c>
      <c r="G40" s="6">
        <f>(F40/$B$2)</f>
        <v>1</v>
      </c>
      <c r="H40" s="8">
        <f>SUM('KPI_FY 24-25'!H42,'KPI_FY 24-25'!AD42,'KPI_FY 24-25'!AZ42,'KPI_FY 24-25'!BV42,'KPI_FY 24-25'!CR42,'KPI_FY 24-25'!DN42,'KPI_FY 24-25'!EJ42,'KPI_FY 24-25'!FF42,'KPI_FY 24-25'!GB42,'KPI_FY 24-25'!GX42,'KPI_FY 24-25'!HT42,'KPI_FY 24-25'!IP42)</f>
        <v>0</v>
      </c>
      <c r="I40" s="6">
        <f>(H40/$B$2)</f>
        <v>0</v>
      </c>
      <c r="J40" s="6">
        <f>SUM('KPI_FY 24-25'!J42,'KPI_FY 24-25'!AF42,'KPI_FY 24-25'!BB42,'KPI_FY 24-25'!BX42,'KPI_FY 24-25'!CT42,'KPI_FY 24-25'!DP42,'KPI_FY 24-25'!EL42,'KPI_FY 24-25'!FH42,'KPI_FY 24-25'!GD42,'KPI_FY 24-25'!GZ42,'KPI_FY 24-25'!HV42,'KPI_FY 24-25'!IR42)</f>
        <v>0</v>
      </c>
      <c r="K40" s="6">
        <f>(J40/$B$2)</f>
        <v>0</v>
      </c>
      <c r="L40" s="8">
        <f>SUM('KPI_FY 24-25'!L42,'KPI_FY 24-25'!AH42,'KPI_FY 24-25'!BD42,'KPI_FY 24-25'!BZ42,'KPI_FY 24-25'!CV42,'KPI_FY 24-25'!DR42,'KPI_FY 24-25'!EN42,'KPI_FY 24-25'!FJ42,'KPI_FY 24-25'!GF42,'KPI_FY 24-25'!HB42,'KPI_FY 24-25'!HX42,'KPI_FY 24-25'!IT42)</f>
        <v>0</v>
      </c>
      <c r="M40" s="6">
        <f>(C40/$B$2)</f>
        <v>0</v>
      </c>
      <c r="N40" s="6">
        <f>((C40-L40)/$B$2)</f>
        <v>0</v>
      </c>
      <c r="O40" s="18">
        <f>IF((AND(D40=0,F40=0)),0,(F40+L40)/(D40+F40+L40))</f>
        <v>1</v>
      </c>
      <c r="P40" s="6">
        <f>(R40/($B$2*S40))</f>
        <v>0</v>
      </c>
      <c r="Q40" s="6">
        <f>(L40/$B$2)</f>
        <v>0</v>
      </c>
      <c r="R40" s="9">
        <f>SUM('KPI_FY 24-25'!T42,'KPI_FY 24-25'!AP42,'KPI_FY 24-25'!BL42,'KPI_FY 24-25'!CH42,'KPI_FY 24-25'!DD42,'KPI_FY 24-25'!DZ42,'KPI_FY 24-25'!EV42,'KPI_FY 24-25'!FR42,'KPI_FY 24-25'!GN42,'KPI_FY 24-25'!HJ42,'KPI_FY 24-25'!IF42,'KPI_FY 24-25'!JB42)</f>
        <v>0</v>
      </c>
      <c r="S40" s="8">
        <v>21</v>
      </c>
      <c r="T40" s="132">
        <f t="shared" ref="T40" si="57">N40+K40+I40+G40+Q40</f>
        <v>1</v>
      </c>
      <c r="V40" s="64"/>
      <c r="W40" s="15"/>
      <c r="X40" s="15"/>
    </row>
    <row r="41" spans="1:24" x14ac:dyDescent="0.25">
      <c r="A41" s="8"/>
      <c r="B41" s="32" t="s">
        <v>84</v>
      </c>
      <c r="C41" s="48">
        <f>SUM(C39:C40)</f>
        <v>0</v>
      </c>
      <c r="D41" s="48">
        <f t="shared" ref="D41:E41" si="58">SUM(D39:D40)</f>
        <v>0</v>
      </c>
      <c r="E41" s="48">
        <f t="shared" si="58"/>
        <v>0</v>
      </c>
      <c r="F41" s="128">
        <f t="shared" ref="F41" si="59">SUM(F39:F40)</f>
        <v>17520</v>
      </c>
      <c r="G41" s="118">
        <f>(G39*S39+G40*S40)/S41</f>
        <v>1</v>
      </c>
      <c r="H41" s="48">
        <f t="shared" ref="H41:J41" si="60">SUM(H39:H40)</f>
        <v>0</v>
      </c>
      <c r="I41" s="118">
        <f>(I39*S39+I40*S40)/S41</f>
        <v>0</v>
      </c>
      <c r="J41" s="48">
        <f t="shared" si="60"/>
        <v>0</v>
      </c>
      <c r="K41" s="118">
        <f>(K39*S39+K40*S40)/S41</f>
        <v>0</v>
      </c>
      <c r="L41" s="48">
        <f t="shared" ref="L41" si="61">SUM(L39:L40)</f>
        <v>0</v>
      </c>
      <c r="M41" s="118">
        <f>(M39*S39+M40*S40)/S41</f>
        <v>0</v>
      </c>
      <c r="N41" s="118">
        <f>(N39*S39+N40*S40)/S41</f>
        <v>0</v>
      </c>
      <c r="O41" s="118">
        <f>(O39*S39+O40*S40)/S41</f>
        <v>1</v>
      </c>
      <c r="P41" s="118">
        <f>(P39*S39+P40*S40)/S41</f>
        <v>0</v>
      </c>
      <c r="Q41" s="118">
        <f>(Q39*S39+Q40*S40)/S41</f>
        <v>0</v>
      </c>
      <c r="R41" s="140">
        <f>SUM(R39:R40)</f>
        <v>0</v>
      </c>
      <c r="S41" s="48">
        <f>SUM(S39:S40)</f>
        <v>42</v>
      </c>
      <c r="V41" s="64"/>
      <c r="W41" s="15"/>
      <c r="X41" s="15"/>
    </row>
    <row r="42" spans="1:24" x14ac:dyDescent="0.25">
      <c r="A42" s="74" t="s">
        <v>56</v>
      </c>
      <c r="B42" s="37" t="s">
        <v>47</v>
      </c>
      <c r="C42" s="8">
        <f>SUM('KPI_FY 24-25'!C44,'KPI_FY 24-25'!Y44,'KPI_FY 24-25'!AU44,'KPI_FY 24-25'!BQ44,'KPI_FY 24-25'!CM44,'KPI_FY 24-25'!DI44,'KPI_FY 24-25'!EE44,'KPI_FY 24-25'!FA44,'KPI_FY 24-25'!FW44,'KPI_FY 24-25'!GS44,'KPI_FY 24-25'!HO44,'KPI_FY 24-25'!IK44)</f>
        <v>24</v>
      </c>
      <c r="D42" s="8">
        <f>SUM('KPI_FY 24-25'!D44,'KPI_FY 24-25'!Z44,'KPI_FY 24-25'!AV44,'KPI_FY 24-25'!BR44,'KPI_FY 24-25'!CN44,'KPI_FY 24-25'!DJ44,'KPI_FY 24-25'!EF44,'KPI_FY 24-25'!FB44,'KPI_FY 24-25'!FX44,'KPI_FY 24-25'!GT44,'KPI_FY 24-25'!HP44,'KPI_FY 24-25'!IL44)</f>
        <v>0</v>
      </c>
      <c r="E42" s="8">
        <f>SUM('KPI_FY 24-25'!E44,'KPI_FY 24-25'!AA44,'KPI_FY 24-25'!AW44,'KPI_FY 24-25'!BS44,'KPI_FY 24-25'!CO44,'KPI_FY 24-25'!DK44,'KPI_FY 24-25'!EG44,'KPI_FY 24-25'!FC44,'KPI_FY 24-25'!FY44,'KPI_FY 24-25'!GU44,'KPI_FY 24-25'!HQ44,'KPI_FY 24-25'!IM44)</f>
        <v>24</v>
      </c>
      <c r="F42" s="8">
        <f>SUM('KPI_FY 24-25'!F44,'KPI_FY 24-25'!AB44,'KPI_FY 24-25'!AX44,'KPI_FY 24-25'!BT44,'KPI_FY 24-25'!CP44,'KPI_FY 24-25'!DL44,'KPI_FY 24-25'!EH44,'KPI_FY 24-25'!FD44,'KPI_FY 24-25'!FZ44,'KPI_FY 24-25'!GV44,'KPI_FY 24-25'!HR44,'KPI_FY 24-25'!IN44)</f>
        <v>0</v>
      </c>
      <c r="G42" s="6">
        <f>(F42/$B$2)</f>
        <v>0</v>
      </c>
      <c r="H42" s="8">
        <f>SUM('KPI_FY 24-25'!H44,'KPI_FY 24-25'!AD44,'KPI_FY 24-25'!AZ44,'KPI_FY 24-25'!BV44,'KPI_FY 24-25'!CR44,'KPI_FY 24-25'!DN44,'KPI_FY 24-25'!EJ44,'KPI_FY 24-25'!FF44,'KPI_FY 24-25'!GB44,'KPI_FY 24-25'!GX44,'KPI_FY 24-25'!HT44,'KPI_FY 24-25'!IP44)</f>
        <v>8736</v>
      </c>
      <c r="I42" s="6">
        <f>(H42/$B$2)</f>
        <v>0.99726027397260275</v>
      </c>
      <c r="J42" s="6">
        <f>SUM('KPI_FY 24-25'!J44,'KPI_FY 24-25'!AF44,'KPI_FY 24-25'!BB44,'KPI_FY 24-25'!BX44,'KPI_FY 24-25'!CT44,'KPI_FY 24-25'!DP44,'KPI_FY 24-25'!EL44,'KPI_FY 24-25'!FH44,'KPI_FY 24-25'!GD44,'KPI_FY 24-25'!GZ44,'KPI_FY 24-25'!HV44,'KPI_FY 24-25'!IR44)</f>
        <v>0</v>
      </c>
      <c r="K42" s="6">
        <f>(J42/$B$2)</f>
        <v>0</v>
      </c>
      <c r="L42" s="8">
        <f>SUM('KPI_FY 24-25'!L44,'KPI_FY 24-25'!AH44,'KPI_FY 24-25'!BD44,'KPI_FY 24-25'!BZ44,'KPI_FY 24-25'!CV44,'KPI_FY 24-25'!DR44,'KPI_FY 24-25'!EN44,'KPI_FY 24-25'!FJ44,'KPI_FY 24-25'!GF44,'KPI_FY 24-25'!HB44,'KPI_FY 24-25'!HX44,'KPI_FY 24-25'!IT44)</f>
        <v>0</v>
      </c>
      <c r="M42" s="6">
        <f>(C42/$B$2)</f>
        <v>2.7397260273972603E-3</v>
      </c>
      <c r="N42" s="6">
        <f>((C42-L42)/$B$2)</f>
        <v>2.7397260273972603E-3</v>
      </c>
      <c r="O42" s="18">
        <f>IF((AND(D42=0,F42=0)),0,(F42+L42)/(D42+F42+L42))</f>
        <v>0</v>
      </c>
      <c r="P42" s="6">
        <f>(R42/($B$2*S42))</f>
        <v>0</v>
      </c>
      <c r="Q42" s="6">
        <f>(L42/$B$2)</f>
        <v>0</v>
      </c>
      <c r="R42" s="9">
        <f>SUM('KPI_FY 24-25'!T44,'KPI_FY 24-25'!AP44,'KPI_FY 24-25'!BL44,'KPI_FY 24-25'!CH44,'KPI_FY 24-25'!DD44,'KPI_FY 24-25'!DZ44,'KPI_FY 24-25'!EV44,'KPI_FY 24-25'!FR44,'KPI_FY 24-25'!GN44,'KPI_FY 24-25'!HJ44,'KPI_FY 24-25'!IF44,'KPI_FY 24-25'!JB44)</f>
        <v>0</v>
      </c>
      <c r="S42" s="8">
        <v>21</v>
      </c>
      <c r="T42" s="132">
        <f>N42+K42+I42+G42+Q42</f>
        <v>1</v>
      </c>
      <c r="V42" s="64"/>
      <c r="W42" s="15"/>
      <c r="X42" s="15"/>
    </row>
    <row r="43" spans="1:24" x14ac:dyDescent="0.25">
      <c r="A43" s="8"/>
      <c r="B43" s="37" t="s">
        <v>48</v>
      </c>
      <c r="C43" s="8">
        <f>SUM('KPI_FY 24-25'!C45,'KPI_FY 24-25'!Y45,'KPI_FY 24-25'!AU45,'KPI_FY 24-25'!BQ45,'KPI_FY 24-25'!CM45,'KPI_FY 24-25'!DI45,'KPI_FY 24-25'!EE45,'KPI_FY 24-25'!FA45,'KPI_FY 24-25'!FW45,'KPI_FY 24-25'!GS45,'KPI_FY 24-25'!HO45,'KPI_FY 24-25'!IK45)</f>
        <v>8472</v>
      </c>
      <c r="D43" s="8">
        <f>SUM('KPI_FY 24-25'!D45,'KPI_FY 24-25'!Z45,'KPI_FY 24-25'!AV45,'KPI_FY 24-25'!BR45,'KPI_FY 24-25'!CN45,'KPI_FY 24-25'!DJ45,'KPI_FY 24-25'!EF45,'KPI_FY 24-25'!FB45,'KPI_FY 24-25'!FX45,'KPI_FY 24-25'!GT45,'KPI_FY 24-25'!HP45,'KPI_FY 24-25'!IL45)</f>
        <v>1234.0999999999997</v>
      </c>
      <c r="E43" s="8">
        <f>SUM('KPI_FY 24-25'!E45,'KPI_FY 24-25'!AA45,'KPI_FY 24-25'!AW45,'KPI_FY 24-25'!BS45,'KPI_FY 24-25'!CO45,'KPI_FY 24-25'!DK45,'KPI_FY 24-25'!EG45,'KPI_FY 24-25'!FC45,'KPI_FY 24-25'!FY45,'KPI_FY 24-25'!GU45,'KPI_FY 24-25'!HQ45,'KPI_FY 24-25'!IM45)</f>
        <v>7237.9</v>
      </c>
      <c r="F43" s="8">
        <f>SUM('KPI_FY 24-25'!F45,'KPI_FY 24-25'!AB45,'KPI_FY 24-25'!AX45,'KPI_FY 24-25'!BT45,'KPI_FY 24-25'!CP45,'KPI_FY 24-25'!DL45,'KPI_FY 24-25'!EH45,'KPI_FY 24-25'!FD45,'KPI_FY 24-25'!FZ45,'KPI_FY 24-25'!GV45,'KPI_FY 24-25'!HR45,'KPI_FY 24-25'!IN45)</f>
        <v>288</v>
      </c>
      <c r="G43" s="6">
        <f>(F43/$B$2)</f>
        <v>3.287671232876712E-2</v>
      </c>
      <c r="H43" s="8">
        <f>SUM('KPI_FY 24-25'!H45,'KPI_FY 24-25'!AD45,'KPI_FY 24-25'!AZ45,'KPI_FY 24-25'!BV45,'KPI_FY 24-25'!CR45,'KPI_FY 24-25'!DN45,'KPI_FY 24-25'!EJ45,'KPI_FY 24-25'!FF45,'KPI_FY 24-25'!GB45,'KPI_FY 24-25'!GX45,'KPI_FY 24-25'!HT45,'KPI_FY 24-25'!IP45)</f>
        <v>0</v>
      </c>
      <c r="I43" s="6">
        <f>(H43/$B$2)</f>
        <v>0</v>
      </c>
      <c r="J43" s="6">
        <f>SUM('KPI_FY 24-25'!J45,'KPI_FY 24-25'!AF45,'KPI_FY 24-25'!BB45,'KPI_FY 24-25'!BX45,'KPI_FY 24-25'!CT45,'KPI_FY 24-25'!DP45,'KPI_FY 24-25'!EL45,'KPI_FY 24-25'!FH45,'KPI_FY 24-25'!GD45,'KPI_FY 24-25'!GZ45,'KPI_FY 24-25'!HV45,'KPI_FY 24-25'!IR45)</f>
        <v>0</v>
      </c>
      <c r="K43" s="6">
        <f>(J43/$B$2)</f>
        <v>0</v>
      </c>
      <c r="L43" s="8">
        <f>SUM('KPI_FY 24-25'!L45,'KPI_FY 24-25'!AH45,'KPI_FY 24-25'!BD45,'KPI_FY 24-25'!BZ45,'KPI_FY 24-25'!CV45,'KPI_FY 24-25'!DR45,'KPI_FY 24-25'!EN45,'KPI_FY 24-25'!FJ45,'KPI_FY 24-25'!GF45,'KPI_FY 24-25'!HB45,'KPI_FY 24-25'!HX45,'KPI_FY 24-25'!IT45)</f>
        <v>0</v>
      </c>
      <c r="M43" s="6">
        <f>(C43/$B$2)</f>
        <v>0.9671232876712329</v>
      </c>
      <c r="N43" s="6">
        <f>((C43-L43)/$B$2)</f>
        <v>0.9671232876712329</v>
      </c>
      <c r="O43" s="18">
        <f>IF((AND(D43=0,F43=0)),0,(F43+L43)/(D43+F43+L43))</f>
        <v>0.18921227251823142</v>
      </c>
      <c r="P43" s="6">
        <f>(R43/($B$2*S43))</f>
        <v>0.10279408567079799</v>
      </c>
      <c r="Q43" s="6">
        <f>(L43/$B$2)</f>
        <v>0</v>
      </c>
      <c r="R43" s="138">
        <f>SUM('KPI_FY 24-25'!T45,'KPI_FY 24-25'!AP45,'KPI_FY 24-25'!BL45,'KPI_FY 24-25'!CH45,'KPI_FY 24-25'!DD45,'KPI_FY 24-25'!DZ45,'KPI_FY 24-25'!EV45,'KPI_FY 24-25'!FR45,'KPI_FY 24-25'!GN45,'KPI_FY 24-25'!HJ45,'KPI_FY 24-25'!IF45,'KPI_FY 24-25'!JB45)</f>
        <v>18910</v>
      </c>
      <c r="S43" s="8">
        <v>21</v>
      </c>
      <c r="T43" s="132">
        <f t="shared" ref="T43" si="62">N43+K43+I43+G43+Q43</f>
        <v>1</v>
      </c>
      <c r="V43" s="64"/>
      <c r="W43" s="15"/>
      <c r="X43" s="15"/>
    </row>
    <row r="44" spans="1:24" x14ac:dyDescent="0.25">
      <c r="A44" s="8"/>
      <c r="B44" s="32" t="s">
        <v>84</v>
      </c>
      <c r="C44" s="128">
        <f>SUM(C42:C43)</f>
        <v>8496</v>
      </c>
      <c r="D44" s="128">
        <f t="shared" ref="D44:E44" si="63">SUM(D42:D43)</f>
        <v>1234.0999999999997</v>
      </c>
      <c r="E44" s="128">
        <f t="shared" si="63"/>
        <v>7261.9</v>
      </c>
      <c r="F44" s="48">
        <f t="shared" ref="F44" si="64">SUM(F42:F43)</f>
        <v>288</v>
      </c>
      <c r="G44" s="118">
        <f>(G42*S42+G43*S43)/S44</f>
        <v>1.643835616438356E-2</v>
      </c>
      <c r="H44" s="48">
        <f t="shared" ref="H44:J44" si="65">SUM(H42:H43)</f>
        <v>8736</v>
      </c>
      <c r="I44" s="118">
        <f>(I42*S42+I43*S43)/S44</f>
        <v>0.49863013698630132</v>
      </c>
      <c r="J44" s="48">
        <f t="shared" si="65"/>
        <v>0</v>
      </c>
      <c r="K44" s="118">
        <f>(K42*S42+K43*S43)/S44</f>
        <v>0</v>
      </c>
      <c r="L44" s="48">
        <f t="shared" ref="L44" si="66">SUM(L42:L43)</f>
        <v>0</v>
      </c>
      <c r="M44" s="118">
        <f>(M42*S42+M43*S43)/S44</f>
        <v>0.48493150684931507</v>
      </c>
      <c r="N44" s="118">
        <f>(N42*S42+N43*S43)/S44</f>
        <v>0.48493150684931507</v>
      </c>
      <c r="O44" s="118">
        <f>(O42*S42+O43*S43)/S44</f>
        <v>9.4606136259115708E-2</v>
      </c>
      <c r="P44" s="118">
        <f>(P42*S42+P43*S43)/S44</f>
        <v>5.1397042835398997E-2</v>
      </c>
      <c r="Q44" s="118">
        <f>(Q42*S42+Q43*S43)/S44</f>
        <v>0</v>
      </c>
      <c r="R44" s="139">
        <f>SUM(R42:R43)</f>
        <v>18910</v>
      </c>
      <c r="S44" s="48">
        <f>SUM(S42:S43)</f>
        <v>42</v>
      </c>
      <c r="V44" s="64"/>
      <c r="W44" s="15"/>
      <c r="X44" s="15"/>
    </row>
    <row r="45" spans="1:24" x14ac:dyDescent="0.25">
      <c r="A45" s="74" t="s">
        <v>57</v>
      </c>
      <c r="B45" s="37" t="s">
        <v>47</v>
      </c>
      <c r="C45" s="8">
        <f>SUM('KPI_FY 24-25'!C47,'KPI_FY 24-25'!Y47,'KPI_FY 24-25'!AU47,'KPI_FY 24-25'!BQ47,'KPI_FY 24-25'!CM47,'KPI_FY 24-25'!DI47,'KPI_FY 24-25'!EE47,'KPI_FY 24-25'!FA47,'KPI_FY 24-25'!FW47,'KPI_FY 24-25'!GS47,'KPI_FY 24-25'!HO47,'KPI_FY 24-25'!IK47)</f>
        <v>0</v>
      </c>
      <c r="D45" s="8">
        <f>SUM('KPI_FY 24-25'!D47,'KPI_FY 24-25'!Z47,'KPI_FY 24-25'!AV47,'KPI_FY 24-25'!BR47,'KPI_FY 24-25'!CN47,'KPI_FY 24-25'!DJ47,'KPI_FY 24-25'!EF47,'KPI_FY 24-25'!FB47,'KPI_FY 24-25'!FX47,'KPI_FY 24-25'!GT47,'KPI_FY 24-25'!HP47,'KPI_FY 24-25'!IL47)</f>
        <v>0</v>
      </c>
      <c r="E45" s="8">
        <f>SUM('KPI_FY 24-25'!E47,'KPI_FY 24-25'!AA47,'KPI_FY 24-25'!AW47,'KPI_FY 24-25'!BS47,'KPI_FY 24-25'!CO47,'KPI_FY 24-25'!DK47,'KPI_FY 24-25'!EG47,'KPI_FY 24-25'!FC47,'KPI_FY 24-25'!FY47,'KPI_FY 24-25'!GU47,'KPI_FY 24-25'!HQ47,'KPI_FY 24-25'!IM47)</f>
        <v>0</v>
      </c>
      <c r="F45" s="8">
        <f>SUM('KPI_FY 24-25'!F47,'KPI_FY 24-25'!AB47,'KPI_FY 24-25'!AX47,'KPI_FY 24-25'!BT47,'KPI_FY 24-25'!CP47,'KPI_FY 24-25'!DL47,'KPI_FY 24-25'!EH47,'KPI_FY 24-25'!FD47,'KPI_FY 24-25'!FZ47,'KPI_FY 24-25'!GV47,'KPI_FY 24-25'!HR47,'KPI_FY 24-25'!IN47)</f>
        <v>8760</v>
      </c>
      <c r="G45" s="6">
        <f>(F45/$B$2)</f>
        <v>1</v>
      </c>
      <c r="H45" s="8">
        <f>SUM('KPI_FY 24-25'!H47,'KPI_FY 24-25'!AD47,'KPI_FY 24-25'!AZ47,'KPI_FY 24-25'!BV47,'KPI_FY 24-25'!CR47,'KPI_FY 24-25'!DN47,'KPI_FY 24-25'!EJ47,'KPI_FY 24-25'!FF47,'KPI_FY 24-25'!GB47,'KPI_FY 24-25'!GX47,'KPI_FY 24-25'!HT47,'KPI_FY 24-25'!IP47)</f>
        <v>0</v>
      </c>
      <c r="I45" s="6">
        <f>(H45/$B$2)</f>
        <v>0</v>
      </c>
      <c r="J45" s="6">
        <f>SUM('KPI_FY 24-25'!J47,'KPI_FY 24-25'!AF47,'KPI_FY 24-25'!BB47,'KPI_FY 24-25'!BX47,'KPI_FY 24-25'!CT47,'KPI_FY 24-25'!DP47,'KPI_FY 24-25'!EL47,'KPI_FY 24-25'!FH47,'KPI_FY 24-25'!GD47,'KPI_FY 24-25'!GZ47,'KPI_FY 24-25'!HV47,'KPI_FY 24-25'!IR47)</f>
        <v>0</v>
      </c>
      <c r="K45" s="6">
        <f>(J45/$B$2)</f>
        <v>0</v>
      </c>
      <c r="L45" s="8">
        <f>SUM('KPI_FY 24-25'!L47,'KPI_FY 24-25'!AH47,'KPI_FY 24-25'!BD47,'KPI_FY 24-25'!BZ47,'KPI_FY 24-25'!CV47,'KPI_FY 24-25'!DR47,'KPI_FY 24-25'!EN47,'KPI_FY 24-25'!FJ47,'KPI_FY 24-25'!GF47,'KPI_FY 24-25'!HB47,'KPI_FY 24-25'!HX47,'KPI_FY 24-25'!IT47)</f>
        <v>0</v>
      </c>
      <c r="M45" s="6">
        <f>(C45/$B$2)</f>
        <v>0</v>
      </c>
      <c r="N45" s="6">
        <f>((C45-L45)/$B$2)</f>
        <v>0</v>
      </c>
      <c r="O45" s="18">
        <f>IF((AND(D45=0,F45=0)),0,(F45+L45)/(D45+F45+L45))</f>
        <v>1</v>
      </c>
      <c r="P45" s="6">
        <f>(R45/($B$2*S45))</f>
        <v>0</v>
      </c>
      <c r="Q45" s="6">
        <f>(L45/$B$2)</f>
        <v>0</v>
      </c>
      <c r="R45" s="9">
        <f>SUM('KPI_FY 24-25'!T47,'KPI_FY 24-25'!AP47,'KPI_FY 24-25'!BL47,'KPI_FY 24-25'!CH47,'KPI_FY 24-25'!DD47,'KPI_FY 24-25'!DZ47,'KPI_FY 24-25'!EV47,'KPI_FY 24-25'!FR47,'KPI_FY 24-25'!GN47,'KPI_FY 24-25'!HJ47,'KPI_FY 24-25'!IF47,'KPI_FY 24-25'!JB47)</f>
        <v>0</v>
      </c>
      <c r="S45" s="8">
        <v>21</v>
      </c>
      <c r="T45" s="132">
        <f>N45+K45+I45+G45+Q45</f>
        <v>1</v>
      </c>
      <c r="W45" s="15"/>
      <c r="X45" s="15"/>
    </row>
    <row r="46" spans="1:24" x14ac:dyDescent="0.25">
      <c r="A46" s="8"/>
      <c r="B46" s="37" t="s">
        <v>48</v>
      </c>
      <c r="C46" s="8">
        <f>SUM('KPI_FY 24-25'!C48,'KPI_FY 24-25'!Y48,'KPI_FY 24-25'!AU48,'KPI_FY 24-25'!BQ48,'KPI_FY 24-25'!CM48,'KPI_FY 24-25'!DI48,'KPI_FY 24-25'!EE48,'KPI_FY 24-25'!FA48,'KPI_FY 24-25'!FW48,'KPI_FY 24-25'!GS48,'KPI_FY 24-25'!HO48,'KPI_FY 24-25'!IK48)</f>
        <v>8760</v>
      </c>
      <c r="D46" s="8">
        <f>SUM('KPI_FY 24-25'!D48,'KPI_FY 24-25'!Z48,'KPI_FY 24-25'!AV48,'KPI_FY 24-25'!BR48,'KPI_FY 24-25'!CN48,'KPI_FY 24-25'!DJ48,'KPI_FY 24-25'!EF48,'KPI_FY 24-25'!FB48,'KPI_FY 24-25'!FX48,'KPI_FY 24-25'!GT48,'KPI_FY 24-25'!HP48,'KPI_FY 24-25'!IL48)</f>
        <v>1432.1</v>
      </c>
      <c r="E46" s="8">
        <f>SUM('KPI_FY 24-25'!E48,'KPI_FY 24-25'!AA48,'KPI_FY 24-25'!AW48,'KPI_FY 24-25'!BS48,'KPI_FY 24-25'!CO48,'KPI_FY 24-25'!DK48,'KPI_FY 24-25'!EG48,'KPI_FY 24-25'!FC48,'KPI_FY 24-25'!FY48,'KPI_FY 24-25'!GU48,'KPI_FY 24-25'!HQ48,'KPI_FY 24-25'!IM48)</f>
        <v>7327.9000000000005</v>
      </c>
      <c r="F46" s="8">
        <f>SUM('KPI_FY 24-25'!F48,'KPI_FY 24-25'!AB48,'KPI_FY 24-25'!AX48,'KPI_FY 24-25'!BT48,'KPI_FY 24-25'!CP48,'KPI_FY 24-25'!DL48,'KPI_FY 24-25'!EH48,'KPI_FY 24-25'!FD48,'KPI_FY 24-25'!FZ48,'KPI_FY 24-25'!GV48,'KPI_FY 24-25'!HR48,'KPI_FY 24-25'!IN48)</f>
        <v>0</v>
      </c>
      <c r="G46" s="6">
        <f>(F46/$B$2)</f>
        <v>0</v>
      </c>
      <c r="H46" s="8">
        <f>SUM('KPI_FY 24-25'!H48,'KPI_FY 24-25'!AD48,'KPI_FY 24-25'!AZ48,'KPI_FY 24-25'!BV48,'KPI_FY 24-25'!CR48,'KPI_FY 24-25'!DN48,'KPI_FY 24-25'!EJ48,'KPI_FY 24-25'!FF48,'KPI_FY 24-25'!GB48,'KPI_FY 24-25'!GX48,'KPI_FY 24-25'!HT48,'KPI_FY 24-25'!IP48)</f>
        <v>0</v>
      </c>
      <c r="I46" s="6">
        <f>(H46/$B$2)</f>
        <v>0</v>
      </c>
      <c r="J46" s="6">
        <f>SUM('KPI_FY 24-25'!J48,'KPI_FY 24-25'!AF48,'KPI_FY 24-25'!BB48,'KPI_FY 24-25'!BX48,'KPI_FY 24-25'!CT48,'KPI_FY 24-25'!DP48,'KPI_FY 24-25'!EL48,'KPI_FY 24-25'!FH48,'KPI_FY 24-25'!GD48,'KPI_FY 24-25'!GZ48,'KPI_FY 24-25'!HV48,'KPI_FY 24-25'!IR48)</f>
        <v>0</v>
      </c>
      <c r="K46" s="6">
        <f>(J46/$B$2)</f>
        <v>0</v>
      </c>
      <c r="L46" s="8">
        <f>SUM('KPI_FY 24-25'!L48,'KPI_FY 24-25'!AH48,'KPI_FY 24-25'!BD48,'KPI_FY 24-25'!BZ48,'KPI_FY 24-25'!CV48,'KPI_FY 24-25'!DR48,'KPI_FY 24-25'!EN48,'KPI_FY 24-25'!FJ48,'KPI_FY 24-25'!GF48,'KPI_FY 24-25'!HB48,'KPI_FY 24-25'!HX48,'KPI_FY 24-25'!IT48)</f>
        <v>0</v>
      </c>
      <c r="M46" s="6">
        <f>(C46/$B$2)</f>
        <v>1</v>
      </c>
      <c r="N46" s="6">
        <f>((C46-L46)/$B$2)</f>
        <v>1</v>
      </c>
      <c r="O46" s="18">
        <f>IF((AND(D46=0,F46=0)),0,(F46+L46)/(D46+F46+L46))</f>
        <v>0</v>
      </c>
      <c r="P46" s="6">
        <f>(R46/($B$2*S46))</f>
        <v>0.15181561208958469</v>
      </c>
      <c r="Q46" s="6">
        <f>(L46/$B$2)</f>
        <v>0</v>
      </c>
      <c r="R46" s="138">
        <f>SUM('KPI_FY 24-25'!T48,'KPI_FY 24-25'!AP48,'KPI_FY 24-25'!BL48,'KPI_FY 24-25'!CH48,'KPI_FY 24-25'!DD48,'KPI_FY 24-25'!DZ48,'KPI_FY 24-25'!EV48,'KPI_FY 24-25'!FR48,'KPI_FY 24-25'!GN48,'KPI_FY 24-25'!HJ48,'KPI_FY 24-25'!IF48,'KPI_FY 24-25'!JB48)</f>
        <v>27928</v>
      </c>
      <c r="S46" s="8">
        <v>21</v>
      </c>
      <c r="T46" s="132">
        <f t="shared" ref="T46" si="67">N46+K46+I46+G46+Q46</f>
        <v>1</v>
      </c>
      <c r="W46" s="8"/>
      <c r="X46" s="8"/>
    </row>
    <row r="47" spans="1:24" x14ac:dyDescent="0.25">
      <c r="A47" s="8"/>
      <c r="B47" s="32" t="s">
        <v>84</v>
      </c>
      <c r="C47" s="128">
        <f>SUM(C45:C46)</f>
        <v>8760</v>
      </c>
      <c r="D47" s="128">
        <f t="shared" ref="D47:E47" si="68">SUM(D45:D46)</f>
        <v>1432.1</v>
      </c>
      <c r="E47" s="128">
        <f t="shared" si="68"/>
        <v>7327.9000000000005</v>
      </c>
      <c r="F47" s="128">
        <f t="shared" ref="F47" si="69">SUM(F45:F46)</f>
        <v>8760</v>
      </c>
      <c r="G47" s="118">
        <f>(G45*S45+G46*S46)/S47</f>
        <v>0.5</v>
      </c>
      <c r="H47" s="48">
        <f t="shared" ref="H47:J47" si="70">SUM(H45:H46)</f>
        <v>0</v>
      </c>
      <c r="I47" s="118">
        <f>(I45*S45+I46*S46)/S47</f>
        <v>0</v>
      </c>
      <c r="J47" s="48">
        <f t="shared" si="70"/>
        <v>0</v>
      </c>
      <c r="K47" s="118">
        <f>(K45*S45+K46*S46)/S47</f>
        <v>0</v>
      </c>
      <c r="L47" s="48">
        <f t="shared" ref="L47" si="71">SUM(L45:L46)</f>
        <v>0</v>
      </c>
      <c r="M47" s="118">
        <f>(M45*S45+M46*S46)/S47</f>
        <v>0.5</v>
      </c>
      <c r="N47" s="118">
        <f>(N45*S45+N46*S46)/S47</f>
        <v>0.5</v>
      </c>
      <c r="O47" s="118">
        <f>(O45*S45+O46*S46)/S47</f>
        <v>0.5</v>
      </c>
      <c r="P47" s="118">
        <f>(P45*S45+P46*S46)/S47</f>
        <v>7.5907806044792345E-2</v>
      </c>
      <c r="Q47" s="118">
        <f>(Q45*S45+Q46*S46)/S47</f>
        <v>0</v>
      </c>
      <c r="R47" s="135">
        <f>SUM(R45:R46)</f>
        <v>27928</v>
      </c>
      <c r="S47" s="48">
        <f>SUM(S45:S46)</f>
        <v>42</v>
      </c>
    </row>
    <row r="48" spans="1:24" x14ac:dyDescent="0.25">
      <c r="A48" s="74" t="s">
        <v>58</v>
      </c>
      <c r="B48" s="37" t="s">
        <v>47</v>
      </c>
      <c r="C48" s="8">
        <f>SUM('KPI_FY 24-25'!C50,'KPI_FY 24-25'!Y50,'KPI_FY 24-25'!AU50,'KPI_FY 24-25'!BQ50,'KPI_FY 24-25'!CM50,'KPI_FY 24-25'!DI50,'KPI_FY 24-25'!EE50,'KPI_FY 24-25'!FA50,'KPI_FY 24-25'!FW50,'KPI_FY 24-25'!GS50,'KPI_FY 24-25'!HO50,'KPI_FY 24-25'!IK50)</f>
        <v>8760</v>
      </c>
      <c r="D48" s="8">
        <f>SUM('KPI_FY 24-25'!D50,'KPI_FY 24-25'!Z50,'KPI_FY 24-25'!AV50,'KPI_FY 24-25'!BR50,'KPI_FY 24-25'!CN50,'KPI_FY 24-25'!DJ50,'KPI_FY 24-25'!EF50,'KPI_FY 24-25'!FB50,'KPI_FY 24-25'!FX50,'KPI_FY 24-25'!GT50,'KPI_FY 24-25'!HP50,'KPI_FY 24-25'!IL50)</f>
        <v>1618.4999999999998</v>
      </c>
      <c r="E48" s="8">
        <f>SUM('KPI_FY 24-25'!E50,'KPI_FY 24-25'!AA50,'KPI_FY 24-25'!AW50,'KPI_FY 24-25'!BS50,'KPI_FY 24-25'!CO50,'KPI_FY 24-25'!DK50,'KPI_FY 24-25'!EG50,'KPI_FY 24-25'!FC50,'KPI_FY 24-25'!FY50,'KPI_FY 24-25'!GU50,'KPI_FY 24-25'!HQ50,'KPI_FY 24-25'!IM50)</f>
        <v>7141.4999999999991</v>
      </c>
      <c r="F48" s="8">
        <f>SUM('KPI_FY 24-25'!F50,'KPI_FY 24-25'!AB50,'KPI_FY 24-25'!AX50,'KPI_FY 24-25'!BT50,'KPI_FY 24-25'!CP50,'KPI_FY 24-25'!DL50,'KPI_FY 24-25'!EH50,'KPI_FY 24-25'!FD50,'KPI_FY 24-25'!FZ50,'KPI_FY 24-25'!GV50,'KPI_FY 24-25'!HR50,'KPI_FY 24-25'!IN50)</f>
        <v>0</v>
      </c>
      <c r="G48" s="6">
        <f>(F48/$B$2)</f>
        <v>0</v>
      </c>
      <c r="H48" s="8">
        <f>SUM('KPI_FY 24-25'!H50,'KPI_FY 24-25'!AD50,'KPI_FY 24-25'!AZ50,'KPI_FY 24-25'!BV50,'KPI_FY 24-25'!CR50,'KPI_FY 24-25'!DN50,'KPI_FY 24-25'!EJ50,'KPI_FY 24-25'!FF50,'KPI_FY 24-25'!GB50,'KPI_FY 24-25'!GX50,'KPI_FY 24-25'!HT50,'KPI_FY 24-25'!IP50)</f>
        <v>0</v>
      </c>
      <c r="I48" s="6">
        <f>(H48/$B$2)</f>
        <v>0</v>
      </c>
      <c r="J48" s="6">
        <f>SUM('KPI_FY 24-25'!J50,'KPI_FY 24-25'!AF50,'KPI_FY 24-25'!BB50,'KPI_FY 24-25'!BX50,'KPI_FY 24-25'!CT50,'KPI_FY 24-25'!DP50,'KPI_FY 24-25'!EL50,'KPI_FY 24-25'!FH50,'KPI_FY 24-25'!GD50,'KPI_FY 24-25'!GZ50,'KPI_FY 24-25'!HV50,'KPI_FY 24-25'!IR50)</f>
        <v>0</v>
      </c>
      <c r="K48" s="6">
        <f>(J48/$B$2)</f>
        <v>0</v>
      </c>
      <c r="L48" s="8">
        <f>SUM('KPI_FY 24-25'!L50,'KPI_FY 24-25'!AH50,'KPI_FY 24-25'!BD50,'KPI_FY 24-25'!BZ50,'KPI_FY 24-25'!CV50,'KPI_FY 24-25'!DR50,'KPI_FY 24-25'!EN50,'KPI_FY 24-25'!FJ50,'KPI_FY 24-25'!GF50,'KPI_FY 24-25'!HB50,'KPI_FY 24-25'!HX50,'KPI_FY 24-25'!IT50)</f>
        <v>0</v>
      </c>
      <c r="M48" s="6">
        <f>(C48/$B$2)</f>
        <v>1</v>
      </c>
      <c r="N48" s="6">
        <f>((C48-L48)/$B$2)</f>
        <v>1</v>
      </c>
      <c r="O48" s="18">
        <f>IF((AND(D48=0,F48=0)),0,(F48+L48)/(D48+F48+L48))</f>
        <v>0</v>
      </c>
      <c r="P48" s="6">
        <f>(R48/($B$2*S48))</f>
        <v>0.16366601435094585</v>
      </c>
      <c r="Q48" s="6">
        <f>(L48/$B$2)</f>
        <v>0</v>
      </c>
      <c r="R48" s="137">
        <f>SUM('KPI_FY 24-25'!T50,'KPI_FY 24-25'!AP50,'KPI_FY 24-25'!BL50,'KPI_FY 24-25'!CH50,'KPI_FY 24-25'!DD50,'KPI_FY 24-25'!DZ50,'KPI_FY 24-25'!EV50,'KPI_FY 24-25'!FR50,'KPI_FY 24-25'!GN50,'KPI_FY 24-25'!HJ50,'KPI_FY 24-25'!IF50,'KPI_FY 24-25'!JB50)</f>
        <v>30108</v>
      </c>
      <c r="S48" s="8">
        <v>21</v>
      </c>
      <c r="T48" s="132">
        <f>N48+K48+I48+G48+Q48</f>
        <v>1</v>
      </c>
    </row>
    <row r="49" spans="1:24" x14ac:dyDescent="0.25">
      <c r="A49" s="8"/>
      <c r="B49" s="37" t="s">
        <v>48</v>
      </c>
      <c r="C49" s="8">
        <f>SUM('KPI_FY 24-25'!C51,'KPI_FY 24-25'!Y51,'KPI_FY 24-25'!AU51,'KPI_FY 24-25'!BQ51,'KPI_FY 24-25'!CM51,'KPI_FY 24-25'!DI51,'KPI_FY 24-25'!EE51,'KPI_FY 24-25'!FA51,'KPI_FY 24-25'!FW51,'KPI_FY 24-25'!GS51,'KPI_FY 24-25'!HO51,'KPI_FY 24-25'!IK51)</f>
        <v>8760</v>
      </c>
      <c r="D49" s="8">
        <f>SUM('KPI_FY 24-25'!D51,'KPI_FY 24-25'!Z51,'KPI_FY 24-25'!AV51,'KPI_FY 24-25'!BR51,'KPI_FY 24-25'!CN51,'KPI_FY 24-25'!DJ51,'KPI_FY 24-25'!EF51,'KPI_FY 24-25'!FB51,'KPI_FY 24-25'!FX51,'KPI_FY 24-25'!GT51,'KPI_FY 24-25'!HP51,'KPI_FY 24-25'!IL51)</f>
        <v>634.29999999999995</v>
      </c>
      <c r="E49" s="8">
        <f>SUM('KPI_FY 24-25'!E51,'KPI_FY 24-25'!AA51,'KPI_FY 24-25'!AW51,'KPI_FY 24-25'!BS51,'KPI_FY 24-25'!CO51,'KPI_FY 24-25'!DK51,'KPI_FY 24-25'!EG51,'KPI_FY 24-25'!FC51,'KPI_FY 24-25'!FY51,'KPI_FY 24-25'!GU51,'KPI_FY 24-25'!HQ51,'KPI_FY 24-25'!IM51)</f>
        <v>8125.7000000000007</v>
      </c>
      <c r="F49" s="8">
        <f>SUM('KPI_FY 24-25'!F51,'KPI_FY 24-25'!AB51,'KPI_FY 24-25'!AX51,'KPI_FY 24-25'!BT51,'KPI_FY 24-25'!CP51,'KPI_FY 24-25'!DL51,'KPI_FY 24-25'!EH51,'KPI_FY 24-25'!FD51,'KPI_FY 24-25'!FZ51,'KPI_FY 24-25'!GV51,'KPI_FY 24-25'!HR51,'KPI_FY 24-25'!IN51)</f>
        <v>0</v>
      </c>
      <c r="G49" s="6">
        <f>(F49/$B$2)</f>
        <v>0</v>
      </c>
      <c r="H49" s="8">
        <f>SUM('KPI_FY 24-25'!H51,'KPI_FY 24-25'!AD51,'KPI_FY 24-25'!AZ51,'KPI_FY 24-25'!BV51,'KPI_FY 24-25'!CR51,'KPI_FY 24-25'!DN51,'KPI_FY 24-25'!EJ51,'KPI_FY 24-25'!FF51,'KPI_FY 24-25'!GB51,'KPI_FY 24-25'!GX51,'KPI_FY 24-25'!HT51,'KPI_FY 24-25'!IP51)</f>
        <v>0</v>
      </c>
      <c r="I49" s="6">
        <f>(H49/$B$2)</f>
        <v>0</v>
      </c>
      <c r="J49" s="6">
        <f>SUM('KPI_FY 24-25'!J51,'KPI_FY 24-25'!AF51,'KPI_FY 24-25'!BB51,'KPI_FY 24-25'!BX51,'KPI_FY 24-25'!CT51,'KPI_FY 24-25'!DP51,'KPI_FY 24-25'!EL51,'KPI_FY 24-25'!FH51,'KPI_FY 24-25'!GD51,'KPI_FY 24-25'!GZ51,'KPI_FY 24-25'!HV51,'KPI_FY 24-25'!IR51)</f>
        <v>0</v>
      </c>
      <c r="K49" s="6">
        <f>(J49/$B$2)</f>
        <v>0</v>
      </c>
      <c r="L49" s="8">
        <f>SUM('KPI_FY 24-25'!L51,'KPI_FY 24-25'!AH51,'KPI_FY 24-25'!BD51,'KPI_FY 24-25'!BZ51,'KPI_FY 24-25'!CV51,'KPI_FY 24-25'!DR51,'KPI_FY 24-25'!EN51,'KPI_FY 24-25'!FJ51,'KPI_FY 24-25'!GF51,'KPI_FY 24-25'!HB51,'KPI_FY 24-25'!HX51,'KPI_FY 24-25'!IT51)</f>
        <v>0</v>
      </c>
      <c r="M49" s="6">
        <f>(C49/$B$2)</f>
        <v>1</v>
      </c>
      <c r="N49" s="6">
        <f>((C49-L49)/$B$2)</f>
        <v>1</v>
      </c>
      <c r="O49" s="18">
        <f>IF((AND(D49=0,F49=0)),0,(F49+L49)/(D49+F49+L49))</f>
        <v>0</v>
      </c>
      <c r="P49" s="6">
        <f>(R49/($B$2*S49))</f>
        <v>7.264141117634268E-2</v>
      </c>
      <c r="Q49" s="6">
        <f>(L49/$B$2)</f>
        <v>0</v>
      </c>
      <c r="R49" s="137">
        <f>SUM('KPI_FY 24-25'!T51,'KPI_FY 24-25'!AP51,'KPI_FY 24-25'!BL51,'KPI_FY 24-25'!CH51,'KPI_FY 24-25'!DD51,'KPI_FY 24-25'!DZ51,'KPI_FY 24-25'!EV51,'KPI_FY 24-25'!FR51,'KPI_FY 24-25'!GN51,'KPI_FY 24-25'!HJ51,'KPI_FY 24-25'!IF51,'KPI_FY 24-25'!JB51)</f>
        <v>13363.114</v>
      </c>
      <c r="S49" s="8">
        <v>21</v>
      </c>
      <c r="T49" s="132">
        <f t="shared" ref="T49" si="72">N49+K49+I49+G49+Q49</f>
        <v>1</v>
      </c>
      <c r="V49" s="64"/>
      <c r="X49" s="15"/>
    </row>
    <row r="50" spans="1:24" x14ac:dyDescent="0.25">
      <c r="A50" s="8"/>
      <c r="B50" s="32" t="s">
        <v>84</v>
      </c>
      <c r="C50" s="128">
        <f>SUM(C48:C49)</f>
        <v>17520</v>
      </c>
      <c r="D50" s="128">
        <f t="shared" ref="D50:E50" si="73">SUM(D48:D49)</f>
        <v>2252.7999999999997</v>
      </c>
      <c r="E50" s="128">
        <f t="shared" si="73"/>
        <v>15267.2</v>
      </c>
      <c r="F50" s="48">
        <f t="shared" ref="F50" si="74">SUM(F48:F49)</f>
        <v>0</v>
      </c>
      <c r="G50" s="118">
        <f>(G48*S48+G49*S49)/S50</f>
        <v>0</v>
      </c>
      <c r="H50" s="48">
        <f t="shared" ref="H50:J50" si="75">SUM(H48:H49)</f>
        <v>0</v>
      </c>
      <c r="I50" s="118">
        <f>(I48*S48+I49*S49)/S50</f>
        <v>0</v>
      </c>
      <c r="J50" s="48">
        <f t="shared" si="75"/>
        <v>0</v>
      </c>
      <c r="K50" s="120">
        <f>(K48*S48+K49*S49)/S50</f>
        <v>0</v>
      </c>
      <c r="L50" s="48">
        <f t="shared" ref="L50" si="76">SUM(L48:L49)</f>
        <v>0</v>
      </c>
      <c r="M50" s="118">
        <f>(M48*S48+M49*S49)/S50</f>
        <v>1</v>
      </c>
      <c r="N50" s="118">
        <f>(N48*S48+N49*S49)/S50</f>
        <v>1</v>
      </c>
      <c r="O50" s="118">
        <f>(O48*S48+O49*S49)/S50</f>
        <v>0</v>
      </c>
      <c r="P50" s="118">
        <f>(P48*S48+P49*S49)/S50</f>
        <v>0.11815371276364427</v>
      </c>
      <c r="Q50" s="118">
        <f>(Q48*S48+Q49*S49)/S50</f>
        <v>0</v>
      </c>
      <c r="R50" s="139">
        <f>SUM(R48:R49)</f>
        <v>43471.114000000001</v>
      </c>
      <c r="S50" s="48">
        <f>SUM(S48:S49)</f>
        <v>42</v>
      </c>
    </row>
    <row r="51" spans="1:24" x14ac:dyDescent="0.25">
      <c r="A51" s="74" t="s">
        <v>59</v>
      </c>
      <c r="B51" s="37" t="s">
        <v>60</v>
      </c>
      <c r="C51" s="8">
        <f>SUM('KPI_FY 24-25'!C53,'KPI_FY 24-25'!Y53,'KPI_FY 24-25'!AU53,'KPI_FY 24-25'!BQ53,'KPI_FY 24-25'!CM53,'KPI_FY 24-25'!DI53,'KPI_FY 24-25'!EE53,'KPI_FY 24-25'!FA53,'KPI_FY 24-25'!FW53,'KPI_FY 24-25'!GS53,'KPI_FY 24-25'!HO53,'KPI_FY 24-25'!IK53)</f>
        <v>8154</v>
      </c>
      <c r="D51" s="8">
        <f>SUM('KPI_FY 24-25'!D53,'KPI_FY 24-25'!Z53,'KPI_FY 24-25'!AV53,'KPI_FY 24-25'!BR53,'KPI_FY 24-25'!CN53,'KPI_FY 24-25'!DJ53,'KPI_FY 24-25'!EF53,'KPI_FY 24-25'!FB53,'KPI_FY 24-25'!FX53,'KPI_FY 24-25'!GT53,'KPI_FY 24-25'!HP53,'KPI_FY 24-25'!IL53)</f>
        <v>2123.4</v>
      </c>
      <c r="E51" s="8">
        <f>SUM('KPI_FY 24-25'!E53,'KPI_FY 24-25'!AA53,'KPI_FY 24-25'!AW53,'KPI_FY 24-25'!BS53,'KPI_FY 24-25'!CO53,'KPI_FY 24-25'!DK53,'KPI_FY 24-25'!EG53,'KPI_FY 24-25'!FC53,'KPI_FY 24-25'!FY53,'KPI_FY 24-25'!GU53,'KPI_FY 24-25'!HQ53,'KPI_FY 24-25'!IM53)</f>
        <v>6030.6</v>
      </c>
      <c r="F51" s="8">
        <f>SUM('KPI_FY 24-25'!F53,'KPI_FY 24-25'!AB53,'KPI_FY 24-25'!AX53,'KPI_FY 24-25'!BT53,'KPI_FY 24-25'!CP53,'KPI_FY 24-25'!DL53,'KPI_FY 24-25'!EH53,'KPI_FY 24-25'!FD53,'KPI_FY 24-25'!FZ53,'KPI_FY 24-25'!GV53,'KPI_FY 24-25'!HR53,'KPI_FY 24-25'!IN53)</f>
        <v>606</v>
      </c>
      <c r="G51" s="6">
        <f>(F51/$B$2)</f>
        <v>6.9178082191780815E-2</v>
      </c>
      <c r="H51" s="8">
        <f>SUM('KPI_FY 24-25'!H53,'KPI_FY 24-25'!AD53,'KPI_FY 24-25'!AZ53,'KPI_FY 24-25'!BV53,'KPI_FY 24-25'!CR53,'KPI_FY 24-25'!DN53,'KPI_FY 24-25'!EJ53,'KPI_FY 24-25'!FF53,'KPI_FY 24-25'!GB53,'KPI_FY 24-25'!GX53,'KPI_FY 24-25'!HT53,'KPI_FY 24-25'!IP53)</f>
        <v>0</v>
      </c>
      <c r="I51" s="6">
        <f>(H51/$B$2)</f>
        <v>0</v>
      </c>
      <c r="J51" s="6">
        <f>SUM('KPI_FY 24-25'!J53,'KPI_FY 24-25'!AF53,'KPI_FY 24-25'!BB53,'KPI_FY 24-25'!BX53,'KPI_FY 24-25'!CT53,'KPI_FY 24-25'!DP53,'KPI_FY 24-25'!EL53,'KPI_FY 24-25'!FH53,'KPI_FY 24-25'!GD53,'KPI_FY 24-25'!GZ53,'KPI_FY 24-25'!HV53,'KPI_FY 24-25'!IR53)</f>
        <v>0</v>
      </c>
      <c r="K51" s="6">
        <f>(J51/$B$2)</f>
        <v>0</v>
      </c>
      <c r="L51" s="8">
        <f>SUM('KPI_FY 24-25'!L53,'KPI_FY 24-25'!AH53,'KPI_FY 24-25'!BD53,'KPI_FY 24-25'!BZ53,'KPI_FY 24-25'!CV53,'KPI_FY 24-25'!DR53,'KPI_FY 24-25'!EN53,'KPI_FY 24-25'!FJ53,'KPI_FY 24-25'!GF53,'KPI_FY 24-25'!HB53,'KPI_FY 24-25'!HX53,'KPI_FY 24-25'!IT53)</f>
        <v>0</v>
      </c>
      <c r="M51" s="6">
        <f>(C51/$B$2)</f>
        <v>0.93082191780821921</v>
      </c>
      <c r="N51" s="6">
        <f>((C51-L51)/$B$2)</f>
        <v>0.93082191780821921</v>
      </c>
      <c r="O51" s="18">
        <f>IF((AND(D51=0,F51=0)),0,(F51+L51)/(D51+F51+L51))</f>
        <v>0.22202681908111671</v>
      </c>
      <c r="P51" s="6">
        <f>(R51/($B$2*S51))</f>
        <v>0.23880432944359886</v>
      </c>
      <c r="Q51" s="6">
        <f>(L51/$B$2)</f>
        <v>0</v>
      </c>
      <c r="R51" s="137">
        <f>SUM('KPI_FY 24-25'!T53,'KPI_FY 24-25'!AP53,'KPI_FY 24-25'!BL53,'KPI_FY 24-25'!CH53,'KPI_FY 24-25'!DD53,'KPI_FY 24-25'!DZ53,'KPI_FY 24-25'!EV53,'KPI_FY 24-25'!FR53,'KPI_FY 24-25'!GN53,'KPI_FY 24-25'!HJ53,'KPI_FY 24-25'!IF53,'KPI_FY 24-25'!JB53)</f>
        <v>56482</v>
      </c>
      <c r="S51" s="8">
        <v>27</v>
      </c>
      <c r="T51" s="132">
        <f>N51+K51+I51+G51+Q51</f>
        <v>1</v>
      </c>
    </row>
    <row r="52" spans="1:24" x14ac:dyDescent="0.25">
      <c r="A52" s="74" t="s">
        <v>61</v>
      </c>
      <c r="B52" s="37" t="s">
        <v>62</v>
      </c>
      <c r="C52" s="8">
        <f>SUM('KPI_FY 24-25'!C54,'KPI_FY 24-25'!Y54,'KPI_FY 24-25'!AU54,'KPI_FY 24-25'!BQ54,'KPI_FY 24-25'!CM54,'KPI_FY 24-25'!DI54,'KPI_FY 24-25'!EE54,'KPI_FY 24-25'!FA54,'KPI_FY 24-25'!FW54,'KPI_FY 24-25'!GS54,'KPI_FY 24-25'!HO54,'KPI_FY 24-25'!IK54)</f>
        <v>7762</v>
      </c>
      <c r="D52" s="8">
        <f>SUM('KPI_FY 24-25'!D54,'KPI_FY 24-25'!Z54,'KPI_FY 24-25'!AV54,'KPI_FY 24-25'!BR54,'KPI_FY 24-25'!CN54,'KPI_FY 24-25'!DJ54,'KPI_FY 24-25'!EF54,'KPI_FY 24-25'!FB54,'KPI_FY 24-25'!FX54,'KPI_FY 24-25'!GT54,'KPI_FY 24-25'!HP54,'KPI_FY 24-25'!IL54)</f>
        <v>1811.3000000000002</v>
      </c>
      <c r="E52" s="8">
        <f>SUM('KPI_FY 24-25'!E54,'KPI_FY 24-25'!AA54,'KPI_FY 24-25'!AW54,'KPI_FY 24-25'!BS54,'KPI_FY 24-25'!CO54,'KPI_FY 24-25'!DK54,'KPI_FY 24-25'!EG54,'KPI_FY 24-25'!FC54,'KPI_FY 24-25'!FY54,'KPI_FY 24-25'!GU54,'KPI_FY 24-25'!HQ54,'KPI_FY 24-25'!IM54)</f>
        <v>5950.7000000000007</v>
      </c>
      <c r="F52" s="8">
        <f>SUM('KPI_FY 24-25'!F54,'KPI_FY 24-25'!AB54,'KPI_FY 24-25'!AX54,'KPI_FY 24-25'!BT54,'KPI_FY 24-25'!CP54,'KPI_FY 24-25'!DL54,'KPI_FY 24-25'!EH54,'KPI_FY 24-25'!FD54,'KPI_FY 24-25'!FZ54,'KPI_FY 24-25'!GV54,'KPI_FY 24-25'!HR54,'KPI_FY 24-25'!IN54)</f>
        <v>998</v>
      </c>
      <c r="G52" s="6">
        <f t="shared" ref="G52:G53" si="77">(F52/$B$2)</f>
        <v>0.11392694063926941</v>
      </c>
      <c r="H52" s="8">
        <f>SUM('KPI_FY 24-25'!H54,'KPI_FY 24-25'!AD54,'KPI_FY 24-25'!AZ54,'KPI_FY 24-25'!BV54,'KPI_FY 24-25'!CR54,'KPI_FY 24-25'!DN54,'KPI_FY 24-25'!EJ54,'KPI_FY 24-25'!FF54,'KPI_FY 24-25'!GB54,'KPI_FY 24-25'!GX54,'KPI_FY 24-25'!HT54,'KPI_FY 24-25'!IP54)</f>
        <v>0</v>
      </c>
      <c r="I52" s="6">
        <f>(H52/$B$2)</f>
        <v>0</v>
      </c>
      <c r="J52" s="6">
        <f>SUM('KPI_FY 24-25'!J54,'KPI_FY 24-25'!AF54,'KPI_FY 24-25'!BB54,'KPI_FY 24-25'!BX54,'KPI_FY 24-25'!CT54,'KPI_FY 24-25'!DP54,'KPI_FY 24-25'!EL54,'KPI_FY 24-25'!FH54,'KPI_FY 24-25'!GD54,'KPI_FY 24-25'!GZ54,'KPI_FY 24-25'!HV54,'KPI_FY 24-25'!IR54)</f>
        <v>0</v>
      </c>
      <c r="K52" s="6">
        <f t="shared" ref="K52:K53" si="78">(J52/$B$2)</f>
        <v>0</v>
      </c>
      <c r="L52" s="8">
        <f>SUM('KPI_FY 24-25'!L54,'KPI_FY 24-25'!AH54,'KPI_FY 24-25'!BD54,'KPI_FY 24-25'!BZ54,'KPI_FY 24-25'!CV54,'KPI_FY 24-25'!DR54,'KPI_FY 24-25'!EN54,'KPI_FY 24-25'!FJ54,'KPI_FY 24-25'!GF54,'KPI_FY 24-25'!HB54,'KPI_FY 24-25'!HX54,'KPI_FY 24-25'!IT54)</f>
        <v>0</v>
      </c>
      <c r="M52" s="6">
        <f t="shared" ref="M52:M53" si="79">(C52/$B$2)</f>
        <v>0.88607305936073055</v>
      </c>
      <c r="N52" s="6">
        <f t="shared" ref="N52:N53" si="80">((C52-L52)/$B$2)</f>
        <v>0.88607305936073055</v>
      </c>
      <c r="O52" s="18">
        <f t="shared" ref="O52:O53" si="81">IF((AND(D52=0,F52=0)),0,(F52+L52)/(D52+F52+L52))</f>
        <v>0.35524863845085963</v>
      </c>
      <c r="P52" s="6">
        <f t="shared" ref="P52:P53" si="82">(R52/($B$2*S52))</f>
        <v>0.20154743784880771</v>
      </c>
      <c r="Q52" s="6">
        <f t="shared" ref="Q52:Q53" si="83">(L52/$B$2)</f>
        <v>0</v>
      </c>
      <c r="R52" s="137">
        <f>SUM('KPI_FY 24-25'!T54,'KPI_FY 24-25'!AP54,'KPI_FY 24-25'!BL54,'KPI_FY 24-25'!CH54,'KPI_FY 24-25'!DD54,'KPI_FY 24-25'!DZ54,'KPI_FY 24-25'!EV54,'KPI_FY 24-25'!FR54,'KPI_FY 24-25'!GN54,'KPI_FY 24-25'!HJ54,'KPI_FY 24-25'!IF54,'KPI_FY 24-25'!JB54)</f>
        <v>47670</v>
      </c>
      <c r="S52" s="8">
        <v>27</v>
      </c>
      <c r="T52" s="132">
        <f t="shared" ref="T52:T53" si="84">N52+K52+I52+G52+Q52</f>
        <v>1</v>
      </c>
      <c r="W52" s="66"/>
      <c r="X52" s="66"/>
    </row>
    <row r="53" spans="1:24" x14ac:dyDescent="0.25">
      <c r="A53" s="8"/>
      <c r="B53" s="37" t="s">
        <v>63</v>
      </c>
      <c r="C53" s="8">
        <f>SUM('KPI_FY 24-25'!C55,'KPI_FY 24-25'!Y55,'KPI_FY 24-25'!AU55,'KPI_FY 24-25'!BQ55,'KPI_FY 24-25'!CM55,'KPI_FY 24-25'!DI55,'KPI_FY 24-25'!EE55,'KPI_FY 24-25'!FA55,'KPI_FY 24-25'!FW55,'KPI_FY 24-25'!GS55,'KPI_FY 24-25'!HO55,'KPI_FY 24-25'!IK55)</f>
        <v>8544</v>
      </c>
      <c r="D53" s="8">
        <f>SUM('KPI_FY 24-25'!D55,'KPI_FY 24-25'!Z55,'KPI_FY 24-25'!AV55,'KPI_FY 24-25'!BR55,'KPI_FY 24-25'!CN55,'KPI_FY 24-25'!DJ55,'KPI_FY 24-25'!EF55,'KPI_FY 24-25'!FB55,'KPI_FY 24-25'!FX55,'KPI_FY 24-25'!GT55,'KPI_FY 24-25'!HP55,'KPI_FY 24-25'!IL55)</f>
        <v>2141.1</v>
      </c>
      <c r="E53" s="8">
        <f>SUM('KPI_FY 24-25'!E55,'KPI_FY 24-25'!AA55,'KPI_FY 24-25'!AW55,'KPI_FY 24-25'!BS55,'KPI_FY 24-25'!CO55,'KPI_FY 24-25'!DK55,'KPI_FY 24-25'!EG55,'KPI_FY 24-25'!FC55,'KPI_FY 24-25'!FY55,'KPI_FY 24-25'!GU55,'KPI_FY 24-25'!HQ55,'KPI_FY 24-25'!IM55)</f>
        <v>6402.9000000000005</v>
      </c>
      <c r="F53" s="8">
        <f>SUM('KPI_FY 24-25'!F55,'KPI_FY 24-25'!AB55,'KPI_FY 24-25'!AX55,'KPI_FY 24-25'!BT55,'KPI_FY 24-25'!CP55,'KPI_FY 24-25'!DL55,'KPI_FY 24-25'!EH55,'KPI_FY 24-25'!FD55,'KPI_FY 24-25'!FZ55,'KPI_FY 24-25'!GV55,'KPI_FY 24-25'!HR55,'KPI_FY 24-25'!IN55)</f>
        <v>216</v>
      </c>
      <c r="G53" s="6">
        <f t="shared" si="77"/>
        <v>2.4657534246575342E-2</v>
      </c>
      <c r="H53" s="8">
        <f>SUM('KPI_FY 24-25'!H55,'KPI_FY 24-25'!AD55,'KPI_FY 24-25'!AZ55,'KPI_FY 24-25'!BV55,'KPI_FY 24-25'!CR55,'KPI_FY 24-25'!DN55,'KPI_FY 24-25'!EJ55,'KPI_FY 24-25'!FF55,'KPI_FY 24-25'!GB55,'KPI_FY 24-25'!GX55,'KPI_FY 24-25'!HT55,'KPI_FY 24-25'!IP55)</f>
        <v>0</v>
      </c>
      <c r="I53" s="6">
        <f>(H53/$B$2)</f>
        <v>0</v>
      </c>
      <c r="J53" s="6">
        <f>SUM('KPI_FY 24-25'!J55,'KPI_FY 24-25'!AF55,'KPI_FY 24-25'!BB55,'KPI_FY 24-25'!BX55,'KPI_FY 24-25'!CT55,'KPI_FY 24-25'!DP55,'KPI_FY 24-25'!EL55,'KPI_FY 24-25'!FH55,'KPI_FY 24-25'!GD55,'KPI_FY 24-25'!GZ55,'KPI_FY 24-25'!HV55,'KPI_FY 24-25'!IR55)</f>
        <v>0</v>
      </c>
      <c r="K53" s="6">
        <f t="shared" si="78"/>
        <v>0</v>
      </c>
      <c r="L53" s="8">
        <f>SUM('KPI_FY 24-25'!L55,'KPI_FY 24-25'!AH55,'KPI_FY 24-25'!BD55,'KPI_FY 24-25'!BZ55,'KPI_FY 24-25'!CV55,'KPI_FY 24-25'!DR55,'KPI_FY 24-25'!EN55,'KPI_FY 24-25'!FJ55,'KPI_FY 24-25'!GF55,'KPI_FY 24-25'!HB55,'KPI_FY 24-25'!HX55,'KPI_FY 24-25'!IT55)</f>
        <v>0</v>
      </c>
      <c r="M53" s="6">
        <f t="shared" si="79"/>
        <v>0.97534246575342465</v>
      </c>
      <c r="N53" s="6">
        <f t="shared" si="80"/>
        <v>0.97534246575342465</v>
      </c>
      <c r="O53" s="18">
        <f t="shared" si="81"/>
        <v>9.1638029782359687E-2</v>
      </c>
      <c r="P53" s="6">
        <f t="shared" si="82"/>
        <v>0.20600794858785726</v>
      </c>
      <c r="Q53" s="6">
        <f t="shared" si="83"/>
        <v>0</v>
      </c>
      <c r="R53" s="137">
        <f>SUM('KPI_FY 24-25'!T55,'KPI_FY 24-25'!AP55,'KPI_FY 24-25'!BL55,'KPI_FY 24-25'!CH55,'KPI_FY 24-25'!DD55,'KPI_FY 24-25'!DZ55,'KPI_FY 24-25'!EV55,'KPI_FY 24-25'!FR55,'KPI_FY 24-25'!GN55,'KPI_FY 24-25'!HJ55,'KPI_FY 24-25'!IF55,'KPI_FY 24-25'!JB55)</f>
        <v>48725</v>
      </c>
      <c r="S53" s="8">
        <v>27</v>
      </c>
      <c r="T53" s="132">
        <f t="shared" si="84"/>
        <v>1</v>
      </c>
      <c r="V53" s="64"/>
      <c r="W53" s="15"/>
      <c r="X53" s="15"/>
    </row>
    <row r="54" spans="1:24" x14ac:dyDescent="0.25">
      <c r="A54" s="8"/>
      <c r="B54" s="32" t="s">
        <v>84</v>
      </c>
      <c r="C54" s="128">
        <f>SUM(C51:C53)</f>
        <v>24460</v>
      </c>
      <c r="D54" s="128">
        <f t="shared" ref="D54:L54" si="85">SUM(D51:D53)</f>
        <v>6075.8</v>
      </c>
      <c r="E54" s="128">
        <f t="shared" ref="E54" si="86">SUM(E51:E53)</f>
        <v>18384.2</v>
      </c>
      <c r="F54" s="128">
        <f t="shared" si="85"/>
        <v>1820</v>
      </c>
      <c r="G54" s="118">
        <f>(G51*S51+G52*S52+G53*S53)/S54</f>
        <v>6.9254185692541867E-2</v>
      </c>
      <c r="H54" s="48">
        <f t="shared" si="85"/>
        <v>0</v>
      </c>
      <c r="I54" s="118">
        <f>(I51*S51+I52*S52+I53*S53)/S54</f>
        <v>0</v>
      </c>
      <c r="J54" s="48">
        <f t="shared" ref="J54" si="87">SUM(J51:J53)</f>
        <v>0</v>
      </c>
      <c r="K54" s="118">
        <f>(K51*S51+K52*S52+K53*S53)/S54</f>
        <v>0</v>
      </c>
      <c r="L54" s="48">
        <f t="shared" si="85"/>
        <v>0</v>
      </c>
      <c r="M54" s="118">
        <f>(M51*S51+M52*S52+M53*S53)/S54</f>
        <v>0.93074581430745817</v>
      </c>
      <c r="N54" s="118">
        <f>(N51*S51+N52*S52+N53*S53)/S54</f>
        <v>0.93074581430745817</v>
      </c>
      <c r="O54" s="118">
        <f>(O51*S51+O52*S52+O53*S53)/S54</f>
        <v>0.22297116243811205</v>
      </c>
      <c r="P54" s="118">
        <f>(P51*S51+P52*S52+P53*S53)/S54</f>
        <v>0.21545323862675461</v>
      </c>
      <c r="Q54" s="118">
        <f>(Q51*S51+Q52*S52+Q53*S53)/S54</f>
        <v>0</v>
      </c>
      <c r="R54" s="135">
        <f>SUM(R51:R53)</f>
        <v>152877</v>
      </c>
      <c r="S54" s="48">
        <f>SUM(S51:S53)</f>
        <v>81</v>
      </c>
    </row>
    <row r="55" spans="1:24" x14ac:dyDescent="0.25">
      <c r="A55" s="74" t="s">
        <v>64</v>
      </c>
      <c r="B55" s="37" t="s">
        <v>65</v>
      </c>
      <c r="C55" s="8">
        <f>SUM('KPI_FY 24-25'!C57,'KPI_FY 24-25'!Y57,'KPI_FY 24-25'!AU57,'KPI_FY 24-25'!BQ57,'KPI_FY 24-25'!CM57,'KPI_FY 24-25'!DI57,'KPI_FY 24-25'!EE57,'KPI_FY 24-25'!FA57,'KPI_FY 24-25'!FW57,'KPI_FY 24-25'!GS57,'KPI_FY 24-25'!HO57,'KPI_FY 24-25'!IK57)</f>
        <v>8432.7799999999988</v>
      </c>
      <c r="D55" s="8">
        <f>SUM('KPI_FY 24-25'!D57,'KPI_FY 24-25'!Z57,'KPI_FY 24-25'!AV57,'KPI_FY 24-25'!BR57,'KPI_FY 24-25'!CN57,'KPI_FY 24-25'!DJ57,'KPI_FY 24-25'!EF57,'KPI_FY 24-25'!FB57,'KPI_FY 24-25'!FX57,'KPI_FY 24-25'!GT57,'KPI_FY 24-25'!HP57,'KPI_FY 24-25'!IL57)</f>
        <v>4102.8100000000004</v>
      </c>
      <c r="E55" s="8">
        <f>SUM('KPI_FY 24-25'!E57,'KPI_FY 24-25'!AA57,'KPI_FY 24-25'!AW57,'KPI_FY 24-25'!BS57,'KPI_FY 24-25'!CO57,'KPI_FY 24-25'!DK57,'KPI_FY 24-25'!EG57,'KPI_FY 24-25'!FC57,'KPI_FY 24-25'!FY57,'KPI_FY 24-25'!GU57,'KPI_FY 24-25'!HQ57,'KPI_FY 24-25'!IM57)</f>
        <v>4330.0099999999993</v>
      </c>
      <c r="F55" s="8">
        <f>SUM('KPI_FY 24-25'!F57,'KPI_FY 24-25'!AB57,'KPI_FY 24-25'!AX57,'KPI_FY 24-25'!BT57,'KPI_FY 24-25'!CP57,'KPI_FY 24-25'!DL57,'KPI_FY 24-25'!EH57,'KPI_FY 24-25'!FD57,'KPI_FY 24-25'!FZ57,'KPI_FY 24-25'!GV57,'KPI_FY 24-25'!HR57,'KPI_FY 24-25'!IN57)</f>
        <v>83.050000000000011</v>
      </c>
      <c r="G55" s="6">
        <f>(F55/$B$2)</f>
        <v>9.4805936073059371E-3</v>
      </c>
      <c r="H55" s="8">
        <f>SUM('KPI_FY 24-25'!H57,'KPI_FY 24-25'!AD57,'KPI_FY 24-25'!AZ57,'KPI_FY 24-25'!BV57,'KPI_FY 24-25'!CR57,'KPI_FY 24-25'!DN57,'KPI_FY 24-25'!EJ57,'KPI_FY 24-25'!FF57,'KPI_FY 24-25'!GB57,'KPI_FY 24-25'!GX57,'KPI_FY 24-25'!HT57,'KPI_FY 24-25'!IP57)</f>
        <v>231.82</v>
      </c>
      <c r="I55" s="6">
        <f>(H55/$B$2)</f>
        <v>2.6463470319634703E-2</v>
      </c>
      <c r="J55" s="6">
        <f>SUM('KPI_FY 24-25'!J57,'KPI_FY 24-25'!AF57,'KPI_FY 24-25'!BB57,'KPI_FY 24-25'!BX57,'KPI_FY 24-25'!CT57,'KPI_FY 24-25'!DP57,'KPI_FY 24-25'!EL57,'KPI_FY 24-25'!FH57,'KPI_FY 24-25'!GD57,'KPI_FY 24-25'!GZ57,'KPI_FY 24-25'!HV57,'KPI_FY 24-25'!IR57)</f>
        <v>12.42</v>
      </c>
      <c r="K55" s="6">
        <f>(J55/$B$2)</f>
        <v>1.4178082191780822E-3</v>
      </c>
      <c r="L55" s="8">
        <f>SUM('KPI_FY 24-25'!L57,'KPI_FY 24-25'!AH57,'KPI_FY 24-25'!BD57,'KPI_FY 24-25'!BZ57,'KPI_FY 24-25'!CV57,'KPI_FY 24-25'!DR57,'KPI_FY 24-25'!EN57,'KPI_FY 24-25'!FJ57,'KPI_FY 24-25'!GF57,'KPI_FY 24-25'!HB57,'KPI_FY 24-25'!HX57,'KPI_FY 24-25'!IT57)</f>
        <v>0</v>
      </c>
      <c r="M55" s="6">
        <f>(C55/$B$2)</f>
        <v>0.96264611872146111</v>
      </c>
      <c r="N55" s="6">
        <f>((C55-L55)/$B$2)</f>
        <v>0.96264611872146111</v>
      </c>
      <c r="O55" s="18">
        <f>IF((AND(D55=0,F55=0)),0,(F55+L55)/(D55+F55+L55))</f>
        <v>1.9840606231455424E-2</v>
      </c>
      <c r="P55" s="6">
        <f>(R55/($B$2*S55))</f>
        <v>0.31935381209353814</v>
      </c>
      <c r="Q55" s="6">
        <f>(L55/$B$2)</f>
        <v>0</v>
      </c>
      <c r="R55" s="137">
        <f>SUM('KPI_FY 24-25'!T57,'KPI_FY 24-25'!AP57,'KPI_FY 24-25'!BL57,'KPI_FY 24-25'!CH57,'KPI_FY 24-25'!DD57,'KPI_FY 24-25'!DZ57,'KPI_FY 24-25'!EV57,'KPI_FY 24-25'!FR57,'KPI_FY 24-25'!GN57,'KPI_FY 24-25'!HJ57,'KPI_FY 24-25'!IF57,'KPI_FY 24-25'!JB57)</f>
        <v>230797</v>
      </c>
      <c r="S55" s="8">
        <v>82.5</v>
      </c>
      <c r="T55" s="132">
        <f>N55+K55+I55+G55+Q55</f>
        <v>1.0000079908675799</v>
      </c>
    </row>
    <row r="56" spans="1:24" x14ac:dyDescent="0.25">
      <c r="A56" s="8"/>
      <c r="B56" s="37" t="s">
        <v>66</v>
      </c>
      <c r="C56" s="8">
        <f>SUM('KPI_FY 24-25'!C58,'KPI_FY 24-25'!Y58,'KPI_FY 24-25'!AU58,'KPI_FY 24-25'!BQ58,'KPI_FY 24-25'!CM58,'KPI_FY 24-25'!DI58,'KPI_FY 24-25'!EE58,'KPI_FY 24-25'!FA58,'KPI_FY 24-25'!FW58,'KPI_FY 24-25'!GS58,'KPI_FY 24-25'!HO58,'KPI_FY 24-25'!IK58)</f>
        <v>7493.02</v>
      </c>
      <c r="D56" s="8">
        <f>SUM('KPI_FY 24-25'!D58,'KPI_FY 24-25'!Z58,'KPI_FY 24-25'!AV58,'KPI_FY 24-25'!BR58,'KPI_FY 24-25'!CN58,'KPI_FY 24-25'!DJ58,'KPI_FY 24-25'!EF58,'KPI_FY 24-25'!FB58,'KPI_FY 24-25'!FX58,'KPI_FY 24-25'!GT58,'KPI_FY 24-25'!HP58,'KPI_FY 24-25'!IL58)</f>
        <v>3508.4900000000007</v>
      </c>
      <c r="E56" s="8">
        <f>SUM('KPI_FY 24-25'!E58,'KPI_FY 24-25'!AA58,'KPI_FY 24-25'!AW58,'KPI_FY 24-25'!BS58,'KPI_FY 24-25'!CO58,'KPI_FY 24-25'!DK58,'KPI_FY 24-25'!EG58,'KPI_FY 24-25'!FC58,'KPI_FY 24-25'!FY58,'KPI_FY 24-25'!GU58,'KPI_FY 24-25'!HQ58,'KPI_FY 24-25'!IM58)</f>
        <v>3984.2000000000003</v>
      </c>
      <c r="F56" s="8">
        <f>SUM('KPI_FY 24-25'!F58,'KPI_FY 24-25'!AB58,'KPI_FY 24-25'!AX58,'KPI_FY 24-25'!BT58,'KPI_FY 24-25'!CP58,'KPI_FY 24-25'!DL58,'KPI_FY 24-25'!EH58,'KPI_FY 24-25'!FD58,'KPI_FY 24-25'!FZ58,'KPI_FY 24-25'!GV58,'KPI_FY 24-25'!HR58,'KPI_FY 24-25'!IN58)</f>
        <v>1049.21</v>
      </c>
      <c r="G56" s="6">
        <f>(F56/$B$2)</f>
        <v>0.11977283105022832</v>
      </c>
      <c r="H56" s="8">
        <f>SUM('KPI_FY 24-25'!H58,'KPI_FY 24-25'!AD58,'KPI_FY 24-25'!AZ58,'KPI_FY 24-25'!BV58,'KPI_FY 24-25'!CR58,'KPI_FY 24-25'!DN58,'KPI_FY 24-25'!EJ58,'KPI_FY 24-25'!FF58,'KPI_FY 24-25'!GB58,'KPI_FY 24-25'!GX58,'KPI_FY 24-25'!HT58,'KPI_FY 24-25'!IP58)</f>
        <v>192.89999999999998</v>
      </c>
      <c r="I56" s="6">
        <f>(H56/$B$2)</f>
        <v>2.2020547945205478E-2</v>
      </c>
      <c r="J56" s="6">
        <f>SUM('KPI_FY 24-25'!J58,'KPI_FY 24-25'!AF58,'KPI_FY 24-25'!BB58,'KPI_FY 24-25'!BX58,'KPI_FY 24-25'!CT58,'KPI_FY 24-25'!DP58,'KPI_FY 24-25'!EL58,'KPI_FY 24-25'!FH58,'KPI_FY 24-25'!GD58,'KPI_FY 24-25'!GZ58,'KPI_FY 24-25'!HV58,'KPI_FY 24-25'!IR58)</f>
        <v>25.200000000000003</v>
      </c>
      <c r="K56" s="6">
        <f>(J56/$B$2)</f>
        <v>2.8767123287671238E-3</v>
      </c>
      <c r="L56" s="8">
        <f>SUM('KPI_FY 24-25'!L58,'KPI_FY 24-25'!AH58,'KPI_FY 24-25'!BD58,'KPI_FY 24-25'!BZ58,'KPI_FY 24-25'!CV58,'KPI_FY 24-25'!DR58,'KPI_FY 24-25'!EN58,'KPI_FY 24-25'!FJ58,'KPI_FY 24-25'!GF58,'KPI_FY 24-25'!HB58,'KPI_FY 24-25'!HX58,'KPI_FY 24-25'!IT58)</f>
        <v>0</v>
      </c>
      <c r="M56" s="6">
        <f>(C56/$B$2)</f>
        <v>0.85536757990867585</v>
      </c>
      <c r="N56" s="6">
        <f>((C56-L56)/$B$2)</f>
        <v>0.85536757990867585</v>
      </c>
      <c r="O56" s="18">
        <f>IF((AND(D56=0,F56=0)),0,(F56+L56)/(D56+F56+L56))</f>
        <v>0.23020602496873421</v>
      </c>
      <c r="P56" s="6">
        <f>(R56/($B$2*S56))</f>
        <v>0.26687837276878373</v>
      </c>
      <c r="Q56" s="6">
        <f>(L56/$B$2)</f>
        <v>0</v>
      </c>
      <c r="R56" s="137">
        <f>SUM('KPI_FY 24-25'!T58,'KPI_FY 24-25'!AP58,'KPI_FY 24-25'!BL58,'KPI_FY 24-25'!CH58,'KPI_FY 24-25'!DD58,'KPI_FY 24-25'!DZ58,'KPI_FY 24-25'!EV58,'KPI_FY 24-25'!FR58,'KPI_FY 24-25'!GN58,'KPI_FY 24-25'!HJ58,'KPI_FY 24-25'!IF58,'KPI_FY 24-25'!JB58)</f>
        <v>192873</v>
      </c>
      <c r="S56" s="8">
        <v>82.5</v>
      </c>
      <c r="T56" s="132">
        <f t="shared" ref="T56" si="88">N56+K56+I56+G56+Q56</f>
        <v>1.0000376712328767</v>
      </c>
    </row>
    <row r="57" spans="1:24" x14ac:dyDescent="0.25">
      <c r="A57" s="8"/>
      <c r="B57" s="32" t="s">
        <v>84</v>
      </c>
      <c r="C57" s="128">
        <f>SUM(C55:C56)</f>
        <v>15925.8</v>
      </c>
      <c r="D57" s="128">
        <f t="shared" ref="D57:E57" si="89">SUM(D55:D56)</f>
        <v>7611.3000000000011</v>
      </c>
      <c r="E57" s="128">
        <f t="shared" si="89"/>
        <v>8314.2099999999991</v>
      </c>
      <c r="F57" s="128">
        <f t="shared" ref="F57" si="90">SUM(F55:F56)</f>
        <v>1132.26</v>
      </c>
      <c r="G57" s="118">
        <f>(G55*S55+G56*S56)/S57</f>
        <v>6.4626712328767127E-2</v>
      </c>
      <c r="H57" s="48">
        <f t="shared" ref="H57:J57" si="91">SUM(H55:H56)</f>
        <v>424.71999999999997</v>
      </c>
      <c r="I57" s="118">
        <f>(I55*S55+I56*S56)/S57</f>
        <v>2.4242009132420091E-2</v>
      </c>
      <c r="J57" s="48">
        <f t="shared" si="91"/>
        <v>37.620000000000005</v>
      </c>
      <c r="K57" s="118">
        <f>(K55*S55+K56*S56)/S57</f>
        <v>2.1472602739726026E-3</v>
      </c>
      <c r="L57" s="48">
        <f t="shared" ref="L57" si="92">SUM(L55:L56)</f>
        <v>0</v>
      </c>
      <c r="M57" s="118">
        <f>(M55*S55+M56*S56)/S57</f>
        <v>0.90900684931506837</v>
      </c>
      <c r="N57" s="118">
        <f>(N55*S55+N56*S56)/S57</f>
        <v>0.90900684931506837</v>
      </c>
      <c r="O57" s="118">
        <f>(O55*S55+O56*S56)/S57</f>
        <v>0.12502331560009483</v>
      </c>
      <c r="P57" s="118">
        <f>(P55*S55+P56*S56)/S57</f>
        <v>0.29311609243116094</v>
      </c>
      <c r="Q57" s="118">
        <f>(Q55*S55+Q56*S56)/S57</f>
        <v>0</v>
      </c>
      <c r="R57" s="139">
        <f>SUM(R55:R56)</f>
        <v>423670</v>
      </c>
      <c r="S57" s="48">
        <f>SUM(S55:S56)</f>
        <v>165</v>
      </c>
    </row>
    <row r="58" spans="1:24" x14ac:dyDescent="0.25">
      <c r="A58" s="74" t="s">
        <v>67</v>
      </c>
      <c r="B58" s="37" t="s">
        <v>68</v>
      </c>
      <c r="C58" s="8">
        <f>SUM('KPI_FY 24-25'!C60,'KPI_FY 24-25'!Y60,'KPI_FY 24-25'!AU60,'KPI_FY 24-25'!BQ60,'KPI_FY 24-25'!CM60,'KPI_FY 24-25'!DI60,'KPI_FY 24-25'!EE60,'KPI_FY 24-25'!FA60,'KPI_FY 24-25'!FW60,'KPI_FY 24-25'!GS60,'KPI_FY 24-25'!HO60,'KPI_FY 24-25'!IK60)</f>
        <v>5346.5</v>
      </c>
      <c r="D58" s="8">
        <f>SUM('KPI_FY 24-25'!D60,'KPI_FY 24-25'!Z60,'KPI_FY 24-25'!AV60,'KPI_FY 24-25'!BR60,'KPI_FY 24-25'!CN60,'KPI_FY 24-25'!DJ60,'KPI_FY 24-25'!EF60,'KPI_FY 24-25'!FB60,'KPI_FY 24-25'!FX60,'KPI_FY 24-25'!GT60,'KPI_FY 24-25'!HP60,'KPI_FY 24-25'!IL60)</f>
        <v>2575.5499999999997</v>
      </c>
      <c r="E58" s="8">
        <f>SUM('KPI_FY 24-25'!E60,'KPI_FY 24-25'!AA60,'KPI_FY 24-25'!AW60,'KPI_FY 24-25'!BS60,'KPI_FY 24-25'!CO60,'KPI_FY 24-25'!DK60,'KPI_FY 24-25'!EG60,'KPI_FY 24-25'!FC60,'KPI_FY 24-25'!FY61,'KPI_FY 24-25'!GU60,'KPI_FY 24-25'!HQ60,'KPI_FY 24-25'!IM60)</f>
        <v>3251.3500000000004</v>
      </c>
      <c r="F58" s="8">
        <f>SUM('KPI_FY 24-25'!F60,'KPI_FY 24-25'!AB60,'KPI_FY 24-25'!AX60,'KPI_FY 24-25'!BT60,'KPI_FY 24-25'!CP60,'KPI_FY 24-25'!DL60,'KPI_FY 24-25'!EH60,'KPI_FY 24-25'!FD60,'KPI_FY 24-25'!FZ60,'KPI_FY 24-25'!GV60,'KPI_FY 24-25'!HR60,'KPI_FY 24-25'!IN60)</f>
        <v>3397.5</v>
      </c>
      <c r="G58" s="6">
        <f>(F58/$B$2)</f>
        <v>0.38784246575342468</v>
      </c>
      <c r="H58" s="8">
        <f>SUM('KPI_FY 24-25'!H60,'KPI_FY 24-25'!AD60,'KPI_FY 24-25'!AZ60,'KPI_FY 24-25'!BV60,'KPI_FY 24-25'!CR60,'KPI_FY 24-25'!DN60,'KPI_FY 24-25'!EJ60,'KPI_FY 24-25'!FF60,'KPI_FY 24-25'!GB60,'KPI_FY 24-25'!GX60,'KPI_FY 24-25'!HT60,'KPI_FY 24-25'!IP60)</f>
        <v>0</v>
      </c>
      <c r="I58" s="6">
        <f>(H58/$B$2)</f>
        <v>0</v>
      </c>
      <c r="J58" s="6">
        <f>SUM('KPI_FY 24-25'!J60,'KPI_FY 24-25'!AF60,'KPI_FY 24-25'!BB60,'KPI_FY 24-25'!BX60,'KPI_FY 24-25'!CT60,'KPI_FY 24-25'!DP60,'KPI_FY 24-25'!EL60,'KPI_FY 24-25'!FH60,'KPI_FY 24-25'!GD60,'KPI_FY 24-25'!GZ60,'KPI_FY 24-25'!HV60,'KPI_FY 24-25'!IR60)</f>
        <v>16</v>
      </c>
      <c r="K58" s="6">
        <f>(J58/$B$2)</f>
        <v>1.8264840182648401E-3</v>
      </c>
      <c r="L58" s="8">
        <f>SUM('KPI_FY 24-25'!L60,'KPI_FY 24-25'!AH60,'KPI_FY 24-25'!BD60,'KPI_FY 24-25'!BZ60,'KPI_FY 24-25'!CV60,'KPI_FY 24-25'!DR60,'KPI_FY 24-25'!EN60,'KPI_FY 24-25'!FJ60,'KPI_FY 24-25'!GF60,'KPI_FY 24-25'!HB60,'KPI_FY 24-25'!HX60,'KPI_FY 24-25'!IT60)</f>
        <v>0</v>
      </c>
      <c r="M58" s="6">
        <f>(C58/$B$2)</f>
        <v>0.61033105022831047</v>
      </c>
      <c r="N58" s="6">
        <f>((C58-L58)/$B$2)</f>
        <v>0.61033105022831047</v>
      </c>
      <c r="O58" s="18">
        <f>IF((AND(D58=0,F58=0)),0,(F58+L58)/(D58+F58+L58))</f>
        <v>0.56880488192799328</v>
      </c>
      <c r="P58" s="6">
        <f>(R58/($B$2*S58))</f>
        <v>0.23025093399750937</v>
      </c>
      <c r="Q58" s="6">
        <f>(L58/$B$2)</f>
        <v>0</v>
      </c>
      <c r="R58" s="137">
        <f>SUM('KPI_FY 24-25'!T60,'KPI_FY 24-25'!AP60,'KPI_FY 24-25'!BL60,'KPI_FY 24-25'!CH60,'KPI_FY 24-25'!DD60,'KPI_FY 24-25'!DZ60,'KPI_FY 24-25'!EV60,'KPI_FY 24-25'!FR60,'KPI_FY 24-25'!GN60,'KPI_FY 24-25'!HJ60,'KPI_FY 24-25'!IF60,'KPI_FY 24-25'!JB60)</f>
        <v>110934.90000000001</v>
      </c>
      <c r="S58" s="8">
        <v>55</v>
      </c>
      <c r="T58" s="132">
        <f>N58+K58+I58+G58+Q58</f>
        <v>1</v>
      </c>
    </row>
    <row r="59" spans="1:24" x14ac:dyDescent="0.25">
      <c r="A59" s="8"/>
      <c r="B59" s="37" t="s">
        <v>65</v>
      </c>
      <c r="C59" s="8">
        <f>SUM('KPI_FY 24-25'!C61,'KPI_FY 24-25'!Y61,'KPI_FY 24-25'!AU61,'KPI_FY 24-25'!BQ61,'KPI_FY 24-25'!CM61,'KPI_FY 24-25'!DI61,'KPI_FY 24-25'!EE61,'KPI_FY 24-25'!FA61,'KPI_FY 24-25'!FW61,'KPI_FY 24-25'!GS61,'KPI_FY 24-25'!HO61,'KPI_FY 24-25'!IK61)</f>
        <v>8485.35</v>
      </c>
      <c r="D59" s="8">
        <f>SUM('KPI_FY 24-25'!D61,'KPI_FY 24-25'!Z61,'KPI_FY 24-25'!AV61,'KPI_FY 24-25'!BR61,'KPI_FY 24-25'!CN61,'KPI_FY 24-25'!DJ61,'KPI_FY 24-25'!EF61,'KPI_FY 24-25'!FB61,'KPI_FY 24-25'!FX61,'KPI_FY 24-25'!GT61,'KPI_FY 24-25'!HP61,'KPI_FY 24-25'!IL61)</f>
        <v>3167.0999999999995</v>
      </c>
      <c r="E59" s="8">
        <f>SUM('KPI_FY 24-25'!E61,'KPI_FY 24-25'!AA61,'KPI_FY 24-25'!AW61,'KPI_FY 24-25'!BS61,'KPI_FY 24-25'!CO61,'KPI_FY 24-25'!DK61,'KPI_FY 24-25'!EG61,'KPI_FY 24-25'!FC61,'KPI_FY 24-25'!FY62,'KPI_FY 24-25'!GU61,'KPI_FY 24-25'!HQ61,'KPI_FY 24-25'!IM61)</f>
        <v>5111.55</v>
      </c>
      <c r="F59" s="8">
        <f>SUM('KPI_FY 24-25'!F61,'KPI_FY 24-25'!AB61,'KPI_FY 24-25'!AX61,'KPI_FY 24-25'!BT61,'KPI_FY 24-25'!CP61,'KPI_FY 24-25'!DL61,'KPI_FY 24-25'!EH61,'KPI_FY 24-25'!FD61,'KPI_FY 24-25'!FZ61,'KPI_FY 24-25'!GV61,'KPI_FY 24-25'!HR61,'KPI_FY 24-25'!IN61)</f>
        <v>53.5</v>
      </c>
      <c r="G59" s="6">
        <f t="shared" ref="G59:G61" si="93">(F59/$B$2)</f>
        <v>6.1073059360730597E-3</v>
      </c>
      <c r="H59" s="8">
        <f>SUM('KPI_FY 24-25'!H61,'KPI_FY 24-25'!AD61,'KPI_FY 24-25'!AZ61,'KPI_FY 24-25'!BV61,'KPI_FY 24-25'!CR61,'KPI_FY 24-25'!DN61,'KPI_FY 24-25'!EJ61,'KPI_FY 24-25'!FF61,'KPI_FY 24-25'!GB61,'KPI_FY 24-25'!GX61,'KPI_FY 24-25'!HT61,'KPI_FY 24-25'!IP61)</f>
        <v>16.399999999999999</v>
      </c>
      <c r="I59" s="6">
        <f t="shared" ref="I59:I61" si="94">(H59/$B$2)</f>
        <v>1.8721461187214609E-3</v>
      </c>
      <c r="J59" s="6">
        <f>SUM('KPI_FY 24-25'!J61,'KPI_FY 24-25'!AF61,'KPI_FY 24-25'!BB61,'KPI_FY 24-25'!BX61,'KPI_FY 24-25'!CT61,'KPI_FY 24-25'!DP61,'KPI_FY 24-25'!EL61,'KPI_FY 24-25'!FH61,'KPI_FY 24-25'!GD61,'KPI_FY 24-25'!GZ61,'KPI_FY 24-25'!HV61,'KPI_FY 24-25'!IR61)</f>
        <v>204.75</v>
      </c>
      <c r="K59" s="6">
        <f t="shared" ref="K59:K61" si="95">(J59/$B$2)</f>
        <v>2.3373287671232878E-2</v>
      </c>
      <c r="L59" s="8">
        <f>SUM('KPI_FY 24-25'!L61,'KPI_FY 24-25'!AH61,'KPI_FY 24-25'!BD61,'KPI_FY 24-25'!BZ61,'KPI_FY 24-25'!CV61,'KPI_FY 24-25'!DR61,'KPI_FY 24-25'!EN61,'KPI_FY 24-25'!FJ61,'KPI_FY 24-25'!GF61,'KPI_FY 24-25'!HB61,'KPI_FY 24-25'!HX61,'KPI_FY 24-25'!IT61)</f>
        <v>0</v>
      </c>
      <c r="M59" s="6">
        <f t="shared" ref="M59:M61" si="96">(C59/$B$2)</f>
        <v>0.96864726027397263</v>
      </c>
      <c r="N59" s="6">
        <f t="shared" ref="N59:N61" si="97">((C59-L59)/$B$2)</f>
        <v>0.96864726027397263</v>
      </c>
      <c r="O59" s="18">
        <f t="shared" ref="O59:O61" si="98">IF((AND(D59=0,F59=0)),0,(F59+L59)/(D59+F59+L59))</f>
        <v>1.6611811463702417E-2</v>
      </c>
      <c r="P59" s="6">
        <f t="shared" ref="P59:P61" si="99">(R59/($B$2*S59))</f>
        <v>0.28979825653798258</v>
      </c>
      <c r="Q59" s="6">
        <f t="shared" ref="Q59:Q61" si="100">(L59/$B$2)</f>
        <v>0</v>
      </c>
      <c r="R59" s="137">
        <f>SUM('KPI_FY 24-25'!T61,'KPI_FY 24-25'!AP61,'KPI_FY 24-25'!BL61,'KPI_FY 24-25'!CH61,'KPI_FY 24-25'!DD61,'KPI_FY 24-25'!DZ61,'KPI_FY 24-25'!EV61,'KPI_FY 24-25'!FR61,'KPI_FY 24-25'!GN61,'KPI_FY 24-25'!HJ61,'KPI_FY 24-25'!IF61,'KPI_FY 24-25'!JB61)</f>
        <v>139624.80000000002</v>
      </c>
      <c r="S59" s="8">
        <v>55</v>
      </c>
      <c r="T59" s="132">
        <f t="shared" ref="T59:T61" si="101">N59+K59+I59+G59+Q59</f>
        <v>1</v>
      </c>
    </row>
    <row r="60" spans="1:24" x14ac:dyDescent="0.25">
      <c r="A60" s="8"/>
      <c r="B60" s="8">
        <v>3</v>
      </c>
      <c r="C60" s="8">
        <f>SUM('KPI_FY 24-25'!C62,'KPI_FY 24-25'!Y62,'KPI_FY 24-25'!AU62,'KPI_FY 24-25'!BQ62,'KPI_FY 24-25'!CM62,'KPI_FY 24-25'!DI62,'KPI_FY 24-25'!EE62,'KPI_FY 24-25'!FA62,'KPI_FY 24-25'!FW62,'KPI_FY 24-25'!GS62,'KPI_FY 24-25'!HO62,'KPI_FY 24-25'!IK62)</f>
        <v>4120.3500000000004</v>
      </c>
      <c r="D60" s="8">
        <f>SUM('KPI_FY 24-25'!D62,'KPI_FY 24-25'!Z62,'KPI_FY 24-25'!AV62,'KPI_FY 24-25'!BR62,'KPI_FY 24-25'!CN62,'KPI_FY 24-25'!DJ62,'KPI_FY 24-25'!EF62,'KPI_FY 24-25'!FB62,'KPI_FY 24-25'!FX62,'KPI_FY 24-25'!GT62,'KPI_FY 24-25'!HP62,'KPI_FY 24-25'!IL62)</f>
        <v>1320.2000000000003</v>
      </c>
      <c r="E60" s="8">
        <f>SUM('KPI_FY 24-25'!E62,'KPI_FY 24-25'!AA62,'KPI_FY 24-25'!AW62,'KPI_FY 24-25'!BS62,'KPI_FY 24-25'!CO62,'KPI_FY 24-25'!DK62,'KPI_FY 24-25'!EG62,'KPI_FY 24-25'!FC62,'KPI_FY 24-25'!FY63,'KPI_FY 24-25'!GU62,'KPI_FY 24-25'!HQ62,'KPI_FY 24-25'!IM62)</f>
        <v>2793.45</v>
      </c>
      <c r="F60" s="6">
        <f>SUM('KPI_FY 24-25'!F62,'KPI_FY 24-25'!AB62,'KPI_FY 24-25'!AX62,'KPI_FY 24-25'!BT62,'KPI_FY 24-25'!CP62,'KPI_FY 24-25'!DL62,'KPI_FY 24-25'!EH62,'KPI_FY 24-25'!FD62,'KPI_FY 24-25'!FZ62,'KPI_FY 24-25'!GV62,'KPI_FY 24-25'!HR62,'KPI_FY 24-25'!IN62)</f>
        <v>4502.2749999999996</v>
      </c>
      <c r="G60" s="6">
        <f t="shared" si="93"/>
        <v>0.51395833333333329</v>
      </c>
      <c r="H60" s="8">
        <f>SUM('KPI_FY 24-25'!H62,'KPI_FY 24-25'!AD62,'KPI_FY 24-25'!AZ62,'KPI_FY 24-25'!BV62,'KPI_FY 24-25'!CR62,'KPI_FY 24-25'!DN62,'KPI_FY 24-25'!EJ62,'KPI_FY 24-25'!FF62,'KPI_FY 24-25'!GB62,'KPI_FY 24-25'!GX62,'KPI_FY 24-25'!HT62,'KPI_FY 24-25'!IP62)</f>
        <v>130</v>
      </c>
      <c r="I60" s="6">
        <f t="shared" si="94"/>
        <v>1.4840182648401826E-2</v>
      </c>
      <c r="J60" s="6">
        <f>SUM('KPI_FY 24-25'!J62,'KPI_FY 24-25'!AF62,'KPI_FY 24-25'!BB62,'KPI_FY 24-25'!BX62,'KPI_FY 24-25'!CT62,'KPI_FY 24-25'!DP62,'KPI_FY 24-25'!EL62,'KPI_FY 24-25'!FH62,'KPI_FY 24-25'!GD62,'KPI_FY 24-25'!GZ62,'KPI_FY 24-25'!HV62,'KPI_FY 24-25'!IR62)</f>
        <v>7.375</v>
      </c>
      <c r="K60" s="6">
        <f t="shared" si="95"/>
        <v>8.4189497716894975E-4</v>
      </c>
      <c r="L60" s="8">
        <f>SUM('KPI_FY 24-25'!L62,'KPI_FY 24-25'!AH62,'KPI_FY 24-25'!BD62,'KPI_FY 24-25'!BZ62,'KPI_FY 24-25'!CV62,'KPI_FY 24-25'!DR62,'KPI_FY 24-25'!EN62,'KPI_FY 24-25'!FJ62,'KPI_FY 24-25'!GF62,'KPI_FY 24-25'!HB62,'KPI_FY 24-25'!HX62,'KPI_FY 24-25'!IT62)</f>
        <v>0</v>
      </c>
      <c r="M60" s="6">
        <f t="shared" si="96"/>
        <v>0.47035958904109593</v>
      </c>
      <c r="N60" s="6">
        <f t="shared" si="97"/>
        <v>0.47035958904109593</v>
      </c>
      <c r="O60" s="18">
        <f t="shared" si="98"/>
        <v>0.77325793584343416</v>
      </c>
      <c r="P60" s="6">
        <f t="shared" si="99"/>
        <v>0.1193200498132005</v>
      </c>
      <c r="Q60" s="6">
        <f t="shared" si="100"/>
        <v>0</v>
      </c>
      <c r="R60" s="137">
        <f>SUM('KPI_FY 24-25'!T62,'KPI_FY 24-25'!AP62,'KPI_FY 24-25'!BL62,'KPI_FY 24-25'!CH62,'KPI_FY 24-25'!DD62,'KPI_FY 24-25'!DZ62,'KPI_FY 24-25'!EV62,'KPI_FY 24-25'!FR62,'KPI_FY 24-25'!GN62,'KPI_FY 24-25'!HJ62,'KPI_FY 24-25'!IF62,'KPI_FY 24-25'!JB62)</f>
        <v>57488.4</v>
      </c>
      <c r="S60" s="8">
        <v>55</v>
      </c>
      <c r="T60" s="132">
        <f>N60+K60+I60+G60+Q60</f>
        <v>1</v>
      </c>
    </row>
    <row r="61" spans="1:24" x14ac:dyDescent="0.25">
      <c r="A61" s="8"/>
      <c r="B61" s="8">
        <v>4</v>
      </c>
      <c r="C61" s="8">
        <f>SUM('KPI_FY 24-25'!C63,'KPI_FY 24-25'!Y63,'KPI_FY 24-25'!AU63,'KPI_FY 24-25'!BQ63,'KPI_FY 24-25'!CM63,'KPI_FY 24-25'!DI63,'KPI_FY 24-25'!EE63,'KPI_FY 24-25'!FA63,'KPI_FY 24-25'!FW63,'KPI_FY 24-25'!GS63,'KPI_FY 24-25'!HO63,'KPI_FY 24-25'!IK63)</f>
        <v>4432.75</v>
      </c>
      <c r="D61" s="8">
        <f>SUM('KPI_FY 24-25'!D63,'KPI_FY 24-25'!Z63,'KPI_FY 24-25'!AV63,'KPI_FY 24-25'!BR63,'KPI_FY 24-25'!CN63,'KPI_FY 24-25'!DJ63,'KPI_FY 24-25'!EF63,'KPI_FY 24-25'!FB63,'KPI_FY 24-25'!FX63,'KPI_FY 24-25'!GT63,'KPI_FY 24-25'!HP63,'KPI_FY 24-25'!IL63)</f>
        <v>1450.6000000000001</v>
      </c>
      <c r="E61" s="8">
        <f>SUM('KPI_FY 24-25'!E63,'KPI_FY 24-25'!AA63,'KPI_FY 24-25'!AW63,'KPI_FY 24-25'!BS63,'KPI_FY 24-25'!CO63,'KPI_FY 24-25'!DK63,'KPI_FY 24-25'!EG63,'KPI_FY 24-25'!FC63,'KPI_FY 24-25'!FY63,'KPI_FY 24-25'!GU63,'KPI_FY 24-25'!HQ63,'KPI_FY 24-25'!IM63)</f>
        <v>2982.15</v>
      </c>
      <c r="F61" s="8">
        <f>SUM('KPI_FY 24-25'!F63,'KPI_FY 24-25'!AB63,'KPI_FY 24-25'!AX63,'KPI_FY 24-25'!BT63,'KPI_FY 24-25'!CP63,'KPI_FY 24-25'!DL63,'KPI_FY 24-25'!EH63,'KPI_FY 24-25'!FD63,'KPI_FY 24-25'!FZ63,'KPI_FY 24-25'!GV63,'KPI_FY 24-25'!HR63,'KPI_FY 24-25'!IN63)</f>
        <v>4307.5</v>
      </c>
      <c r="G61" s="6">
        <f t="shared" si="93"/>
        <v>0.49172374429223742</v>
      </c>
      <c r="H61" s="8">
        <f>SUM('KPI_FY 24-25'!H63,'KPI_FY 24-25'!AD63,'KPI_FY 24-25'!AZ63,'KPI_FY 24-25'!BV63,'KPI_FY 24-25'!CR63,'KPI_FY 24-25'!DN63,'KPI_FY 24-25'!EJ63,'KPI_FY 24-25'!FF63,'KPI_FY 24-25'!GB63,'KPI_FY 24-25'!GX63,'KPI_FY 24-25'!HT63,'KPI_FY 24-25'!IP63)</f>
        <v>0</v>
      </c>
      <c r="I61" s="6">
        <f t="shared" si="94"/>
        <v>0</v>
      </c>
      <c r="J61" s="6">
        <f>SUM('KPI_FY 24-25'!J63,'KPI_FY 24-25'!AF63,'KPI_FY 24-25'!BB63,'KPI_FY 24-25'!BX63,'KPI_FY 24-25'!CT63,'KPI_FY 24-25'!DP63,'KPI_FY 24-25'!EL63,'KPI_FY 24-25'!FH63,'KPI_FY 24-25'!GD63,'KPI_FY 24-25'!GZ63,'KPI_FY 24-25'!HV63,'KPI_FY 24-25'!IR63)</f>
        <v>19.75</v>
      </c>
      <c r="K61" s="6">
        <f t="shared" si="95"/>
        <v>2.2545662100456622E-3</v>
      </c>
      <c r="L61" s="8">
        <f>SUM('KPI_FY 24-25'!L63,'KPI_FY 24-25'!AH63,'KPI_FY 24-25'!BD63,'KPI_FY 24-25'!BZ63,'KPI_FY 24-25'!CV63,'KPI_FY 24-25'!DR63,'KPI_FY 24-25'!EN63,'KPI_FY 24-25'!FJ63,'KPI_FY 24-25'!GF63,'KPI_FY 24-25'!HB63,'KPI_FY 24-25'!HX63,'KPI_FY 24-25'!IT63)</f>
        <v>0</v>
      </c>
      <c r="M61" s="6">
        <f t="shared" si="96"/>
        <v>0.50602168949771686</v>
      </c>
      <c r="N61" s="6">
        <f t="shared" si="97"/>
        <v>0.50602168949771686</v>
      </c>
      <c r="O61" s="18">
        <f t="shared" si="98"/>
        <v>0.74807662249700413</v>
      </c>
      <c r="P61" s="6">
        <f t="shared" si="99"/>
        <v>0.13581714404317144</v>
      </c>
      <c r="Q61" s="6">
        <f t="shared" si="100"/>
        <v>0</v>
      </c>
      <c r="R61" s="137">
        <f>SUM('KPI_FY 24-25'!T63,'KPI_FY 24-25'!AP63,'KPI_FY 24-25'!BL63,'KPI_FY 24-25'!CH63,'KPI_FY 24-25'!DD63,'KPI_FY 24-25'!DZ63,'KPI_FY 24-25'!EV63,'KPI_FY 24-25'!FR63,'KPI_FY 24-25'!GN63,'KPI_FY 24-25'!HJ63,'KPI_FY 24-25'!IF63,'KPI_FY 24-25'!JB63)</f>
        <v>65436.700000000004</v>
      </c>
      <c r="S61" s="8">
        <v>55</v>
      </c>
      <c r="T61" s="132">
        <f t="shared" si="101"/>
        <v>1</v>
      </c>
    </row>
    <row r="62" spans="1:24" x14ac:dyDescent="0.25">
      <c r="A62" s="8"/>
      <c r="B62" s="32" t="s">
        <v>84</v>
      </c>
      <c r="C62" s="128">
        <f>SUM(C58:C61)</f>
        <v>22384.95</v>
      </c>
      <c r="D62" s="128">
        <f t="shared" ref="D62:L62" si="102">SUM(D58:D61)</f>
        <v>8513.4500000000007</v>
      </c>
      <c r="E62" s="128">
        <f t="shared" ref="E62" si="103">SUM(E58:E61)</f>
        <v>14138.500000000002</v>
      </c>
      <c r="F62" s="128">
        <f t="shared" si="102"/>
        <v>12260.775</v>
      </c>
      <c r="G62" s="118">
        <f>(G58*S58+G59*S59+G60*S60+G61*S61)/S62</f>
        <v>0.34990796232876709</v>
      </c>
      <c r="H62" s="48">
        <f t="shared" si="102"/>
        <v>146.4</v>
      </c>
      <c r="I62" s="118">
        <f>(I58*S58+I59*S59+I60*S60+I61*S61)/S62</f>
        <v>4.1780821917808218E-3</v>
      </c>
      <c r="J62" s="120">
        <f t="shared" ref="J62" si="104">SUM(J58:J61)</f>
        <v>247.875</v>
      </c>
      <c r="K62" s="118">
        <f>(K58*S58+K59*S59+K60*S60+K61*S61)/S62</f>
        <v>7.0740582191780831E-3</v>
      </c>
      <c r="L62" s="48">
        <f t="shared" si="102"/>
        <v>0</v>
      </c>
      <c r="M62" s="118">
        <f>(M58*S58+M59*S59+M60*S60+M61*S61)/S62</f>
        <v>0.63883989726027401</v>
      </c>
      <c r="N62" s="118">
        <f>(N58*S58+N59*S59+N60*S60+N61*S61)/S62</f>
        <v>0.63883989726027401</v>
      </c>
      <c r="O62" s="118">
        <f>(O58*S58+O59*S59+O60*S60+O61*S61)/S62</f>
        <v>0.52668781293303357</v>
      </c>
      <c r="P62" s="118">
        <f>(P58*S58+P59*S59+P60*S60+P61*S61)/S62</f>
        <v>0.19379659609796598</v>
      </c>
      <c r="Q62" s="118">
        <f>(Q58*S58+Q59*S59+Q60*S60+Q61*S61)/S62</f>
        <v>0</v>
      </c>
      <c r="R62" s="135">
        <f>SUM(R58:R61)</f>
        <v>373484.80000000005</v>
      </c>
      <c r="S62" s="48">
        <f>SUM(S58:S61)</f>
        <v>220</v>
      </c>
    </row>
    <row r="63" spans="1:24" x14ac:dyDescent="0.25">
      <c r="A63" s="74" t="s">
        <v>69</v>
      </c>
      <c r="B63" s="8" t="s">
        <v>70</v>
      </c>
      <c r="C63" s="6">
        <f>SUM('KPI_FY 24-25'!C65,'KPI_FY 24-25'!Y65,'KPI_FY 24-25'!AU65,'KPI_FY 24-25'!BQ65,'KPI_FY 24-25'!CM65,'KPI_FY 24-25'!DI65,'KPI_FY 24-25'!EE65,'KPI_FY 24-25'!FA65,'KPI_FY 24-25'!FW65,'KPI_FY 24-25'!GS65,'KPI_FY 24-25'!HO65,'KPI_FY 24-25'!IK65)</f>
        <v>7525.65</v>
      </c>
      <c r="D63" s="6">
        <f>SUM('KPI_FY 24-25'!D65,'KPI_FY 24-25'!Z65,'KPI_FY 24-25'!AV65,'KPI_FY 24-25'!BR65,'KPI_FY 24-25'!CN65,'KPI_FY 24-25'!DJ65,'KPI_FY 24-25'!EF65,'KPI_FY 24-25'!FB65,'KPI_FY 24-25'!FX65,'KPI_FY 24-25'!GT65,'KPI_FY 24-25'!HP65,'KPI_FY 24-25'!IL65)</f>
        <v>5007.95</v>
      </c>
      <c r="E63" s="6">
        <f>SUM('KPI_FY 24-25'!E65,'KPI_FY 24-25'!AA65,'KPI_FY 24-25'!AW65,'KPI_FY 24-25'!BS65,'KPI_FY 24-25'!CO65,'KPI_FY 24-25'!DK65,'KPI_FY 24-25'!EG65,'KPI_FY 24-25'!FC65,'KPI_FY 24-25'!FY65,'KPI_FY 24-25'!GU65,'KPI_FY 24-25'!HQ65,'KPI_FY 24-25'!IM65)</f>
        <v>2517.6999999999998</v>
      </c>
      <c r="F63" s="6">
        <f>SUM('KPI_FY 24-25'!F65,'KPI_FY 24-25'!AB65,'KPI_FY 24-25'!AX65,'KPI_FY 24-25'!BT65,'KPI_FY 24-25'!CP65,'KPI_FY 24-25'!DL65,'KPI_FY 24-25'!EH65,'KPI_FY 24-25'!FD65,'KPI_FY 24-25'!FZ65,'KPI_FY 24-25'!GV65,'KPI_FY 24-25'!HR65,'KPI_FY 24-25'!IN65)</f>
        <v>1140.5</v>
      </c>
      <c r="G63" s="6">
        <f>(F63/$B$2)</f>
        <v>0.13019406392694063</v>
      </c>
      <c r="H63" s="8">
        <f>SUM('KPI_FY 24-25'!H65,'KPI_FY 24-25'!AD65,'KPI_FY 24-25'!AZ65,'KPI_FY 24-25'!BV65,'KPI_FY 24-25'!CR65,'KPI_FY 24-25'!DN65,'KPI_FY 24-25'!EJ65,'KPI_FY 24-25'!FF65,'KPI_FY 24-25'!GB65,'KPI_FY 24-25'!GX65,'KPI_FY 24-25'!HT65,'KPI_FY 24-25'!IP65)</f>
        <v>37.380000000000003</v>
      </c>
      <c r="I63" s="6">
        <f>(H63/$B$2)</f>
        <v>4.2671232876712335E-3</v>
      </c>
      <c r="J63" s="6">
        <f>SUM('KPI_FY 24-25'!J65,'KPI_FY 24-25'!AF65,'KPI_FY 24-25'!BB65,'KPI_FY 24-25'!BX65,'KPI_FY 24-25'!CT65,'KPI_FY 24-25'!DP65,'KPI_FY 24-25'!EL65,'KPI_FY 24-25'!FH65,'KPI_FY 24-25'!GD65,'KPI_FY 24-25'!GZ65,'KPI_FY 24-25'!HV65,'KPI_FY 24-25'!IR65)</f>
        <v>56.47</v>
      </c>
      <c r="K63" s="6">
        <f>(J63/$B$2)</f>
        <v>6.4463470319634699E-3</v>
      </c>
      <c r="L63" s="8">
        <f>SUM('KPI_FY 24-25'!L65,'KPI_FY 24-25'!AH65,'KPI_FY 24-25'!BD65,'KPI_FY 24-25'!BZ65,'KPI_FY 24-25'!CV65,'KPI_FY 24-25'!DR65,'KPI_FY 24-25'!EN65,'KPI_FY 24-25'!FJ65,'KPI_FY 24-25'!GF65,'KPI_FY 24-25'!HB65,'KPI_FY 24-25'!HX65,'KPI_FY 24-25'!IT65)</f>
        <v>0</v>
      </c>
      <c r="M63" s="6">
        <f>(C63/$B$2)</f>
        <v>0.85909246575342457</v>
      </c>
      <c r="N63" s="6">
        <f>((C63-L63)/$B$2)</f>
        <v>0.85909246575342457</v>
      </c>
      <c r="O63" s="18">
        <f>IF((AND(D63=0,F63=0)),0,(F63+L63)/(D63+F63+L63))</f>
        <v>0.18549390496791876</v>
      </c>
      <c r="P63" s="6">
        <f>(R63/($B$2*S63))</f>
        <v>0.57848852968036524</v>
      </c>
      <c r="Q63" s="6">
        <f>(L63/$B$2)</f>
        <v>0</v>
      </c>
      <c r="R63" s="137">
        <f>SUM('KPI_FY 24-25'!T65,'KPI_FY 24-25'!AP65,'KPI_FY 24-25'!BL65,'KPI_FY 24-25'!CH65,'KPI_FY 24-25'!DD65,'KPI_FY 24-25'!DZ65,'KPI_FY 24-25'!EV65,'KPI_FY 24-25'!FR65,'KPI_FY 24-25'!GN65,'KPI_FY 24-25'!HJ65,'KPI_FY 24-25'!IF65,'KPI_FY 24-25'!JB65)</f>
        <v>126688.988</v>
      </c>
      <c r="S63" s="8">
        <v>25</v>
      </c>
      <c r="T63" s="132">
        <f>N63+K63+I63+G63+Q63</f>
        <v>0.99999999999999989</v>
      </c>
    </row>
    <row r="64" spans="1:24" x14ac:dyDescent="0.25">
      <c r="A64" s="8"/>
      <c r="B64" s="8" t="s">
        <v>71</v>
      </c>
      <c r="C64" s="6">
        <f>SUM('KPI_FY 24-25'!C66,'KPI_FY 24-25'!Y66,'KPI_FY 24-25'!AU66,'KPI_FY 24-25'!BQ66,'KPI_FY 24-25'!CM66,'KPI_FY 24-25'!DI66,'KPI_FY 24-25'!EE66,'KPI_FY 24-25'!FA66,'KPI_FY 24-25'!FW66,'KPI_FY 24-25'!GS66,'KPI_FY 24-25'!HO66,'KPI_FY 24-25'!IK66)</f>
        <v>8271.19</v>
      </c>
      <c r="D64" s="6">
        <f>SUM('KPI_FY 24-25'!D66,'KPI_FY 24-25'!Z66,'KPI_FY 24-25'!AV66,'KPI_FY 24-25'!BR66,'KPI_FY 24-25'!CN66,'KPI_FY 24-25'!DJ66,'KPI_FY 24-25'!EF66,'KPI_FY 24-25'!FB66,'KPI_FY 24-25'!FX66,'KPI_FY 24-25'!GT66,'KPI_FY 24-25'!HP66,'KPI_FY 24-25'!IL66)</f>
        <v>6207.1</v>
      </c>
      <c r="E64" s="6">
        <f>SUM('KPI_FY 24-25'!E66,'KPI_FY 24-25'!AA66,'KPI_FY 24-25'!AW66,'KPI_FY 24-25'!BS66,'KPI_FY 24-25'!CO66,'KPI_FY 24-25'!DK66,'KPI_FY 24-25'!EG66,'KPI_FY 24-25'!FC66,'KPI_FY 24-25'!FY66,'KPI_FY 24-25'!GU66,'KPI_FY 24-25'!HQ66,'KPI_FY 24-25'!IM66)</f>
        <v>2064.09</v>
      </c>
      <c r="F64" s="6">
        <f>SUM('KPI_FY 24-25'!F66,'KPI_FY 24-25'!AB66,'KPI_FY 24-25'!AX66,'KPI_FY 24-25'!BT66,'KPI_FY 24-25'!CP66,'KPI_FY 24-25'!DL66,'KPI_FY 24-25'!EH66,'KPI_FY 24-25'!FD66,'KPI_FY 24-25'!FZ66,'KPI_FY 24-25'!GV66,'KPI_FY 24-25'!HR66,'KPI_FY 24-25'!IN66)</f>
        <v>392.43</v>
      </c>
      <c r="G64" s="6">
        <f t="shared" ref="G64:G76" si="105">(F64/$B$2)</f>
        <v>4.4797945205479452E-2</v>
      </c>
      <c r="H64" s="8">
        <f>SUM('KPI_FY 24-25'!H66,'KPI_FY 24-25'!AD66,'KPI_FY 24-25'!AZ66,'KPI_FY 24-25'!BV66,'KPI_FY 24-25'!CR66,'KPI_FY 24-25'!DN66,'KPI_FY 24-25'!EJ66,'KPI_FY 24-25'!FF66,'KPI_FY 24-25'!GB66,'KPI_FY 24-25'!GX66,'KPI_FY 24-25'!HT66,'KPI_FY 24-25'!IP66)</f>
        <v>32.159999999999997</v>
      </c>
      <c r="I64" s="6">
        <f t="shared" ref="I64:I76" si="106">(H64/$B$2)</f>
        <v>3.6712328767123286E-3</v>
      </c>
      <c r="J64" s="6">
        <f>SUM('KPI_FY 24-25'!J66,'KPI_FY 24-25'!AF66,'KPI_FY 24-25'!BB66,'KPI_FY 24-25'!BX66,'KPI_FY 24-25'!CT66,'KPI_FY 24-25'!DP66,'KPI_FY 24-25'!EL66,'KPI_FY 24-25'!FH66,'KPI_FY 24-25'!GD66,'KPI_FY 24-25'!GZ66,'KPI_FY 24-25'!HV66,'KPI_FY 24-25'!IR66)</f>
        <v>64.22</v>
      </c>
      <c r="K64" s="6">
        <f t="shared" ref="K64:K76" si="107">(J64/$B$2)</f>
        <v>7.331050228310502E-3</v>
      </c>
      <c r="L64" s="8">
        <f>SUM('KPI_FY 24-25'!L66,'KPI_FY 24-25'!AH66,'KPI_FY 24-25'!BD66,'KPI_FY 24-25'!BZ66,'KPI_FY 24-25'!CV66,'KPI_FY 24-25'!DR66,'KPI_FY 24-25'!EN66,'KPI_FY 24-25'!FJ66,'KPI_FY 24-25'!GF66,'KPI_FY 24-25'!HB66,'KPI_FY 24-25'!HX66,'KPI_FY 24-25'!IT66)</f>
        <v>0</v>
      </c>
      <c r="M64" s="6">
        <f t="shared" ref="M64:M76" si="108">(C64/$B$2)</f>
        <v>0.94419977168949776</v>
      </c>
      <c r="N64" s="6">
        <f t="shared" ref="N64:N76" si="109">((C64-L64)/$B$2)</f>
        <v>0.94419977168949776</v>
      </c>
      <c r="O64" s="18">
        <f t="shared" ref="O64:O76" si="110">IF((AND(D64=0,F64=0)),0,(F64+L64)/(D64+F64+L64))</f>
        <v>5.9463325418628289E-2</v>
      </c>
      <c r="P64" s="6">
        <f t="shared" ref="P64:P76" si="111">(R64/($B$2*S64))</f>
        <v>0.72577546118721459</v>
      </c>
      <c r="Q64" s="6">
        <f t="shared" ref="Q64:Q76" si="112">(L64/$B$2)</f>
        <v>0</v>
      </c>
      <c r="R64" s="137">
        <f>SUM('KPI_FY 24-25'!T66,'KPI_FY 24-25'!AP66,'KPI_FY 24-25'!BL66,'KPI_FY 24-25'!CH66,'KPI_FY 24-25'!DD66,'KPI_FY 24-25'!DZ66,'KPI_FY 24-25'!EV66,'KPI_FY 24-25'!FR66,'KPI_FY 24-25'!GN66,'KPI_FY 24-25'!HJ66,'KPI_FY 24-25'!IF66,'KPI_FY 24-25'!JB66)</f>
        <v>158944.826</v>
      </c>
      <c r="S64" s="8">
        <v>25</v>
      </c>
      <c r="T64" s="132">
        <f t="shared" ref="T64:T76" si="113">N64+K64+I64+G64+Q64</f>
        <v>1</v>
      </c>
    </row>
    <row r="65" spans="1:22" x14ac:dyDescent="0.25">
      <c r="A65" s="8"/>
      <c r="B65" s="8" t="s">
        <v>72</v>
      </c>
      <c r="C65" s="6">
        <f>SUM('KPI_FY 24-25'!C67,'KPI_FY 24-25'!Y67,'KPI_FY 24-25'!AU67,'KPI_FY 24-25'!BQ67,'KPI_FY 24-25'!CM67,'KPI_FY 24-25'!DI67,'KPI_FY 24-25'!EE67,'KPI_FY 24-25'!FA67,'KPI_FY 24-25'!FW67,'KPI_FY 24-25'!GS67,'KPI_FY 24-25'!HO67,'KPI_FY 24-25'!IK67)</f>
        <v>7810.3099999999995</v>
      </c>
      <c r="D65" s="6">
        <f>SUM('KPI_FY 24-25'!D67,'KPI_FY 24-25'!Z67,'KPI_FY 24-25'!AV67,'KPI_FY 24-25'!BR67,'KPI_FY 24-25'!CN67,'KPI_FY 24-25'!DJ67,'KPI_FY 24-25'!EF67,'KPI_FY 24-25'!FB67,'KPI_FY 24-25'!FX67,'KPI_FY 24-25'!GT67,'KPI_FY 24-25'!HP67,'KPI_FY 24-25'!IL67)</f>
        <v>5352.62</v>
      </c>
      <c r="E65" s="6">
        <f>SUM('KPI_FY 24-25'!E67,'KPI_FY 24-25'!AA67,'KPI_FY 24-25'!AW67,'KPI_FY 24-25'!BS67,'KPI_FY 24-25'!CO67,'KPI_FY 24-25'!DK67,'KPI_FY 24-25'!EG67,'KPI_FY 24-25'!FC67,'KPI_FY 24-25'!FY67,'KPI_FY 24-25'!GU67,'KPI_FY 24-25'!HQ67,'KPI_FY 24-25'!IM67)</f>
        <v>2457.69</v>
      </c>
      <c r="F65" s="6">
        <f>SUM('KPI_FY 24-25'!F67,'KPI_FY 24-25'!AB67,'KPI_FY 24-25'!AX67,'KPI_FY 24-25'!BT67,'KPI_FY 24-25'!CP67,'KPI_FY 24-25'!DL67,'KPI_FY 24-25'!EH67,'KPI_FY 24-25'!FD67,'KPI_FY 24-25'!FZ67,'KPI_FY 24-25'!GV67,'KPI_FY 24-25'!HR67,'KPI_FY 24-25'!IN67)</f>
        <v>111.05</v>
      </c>
      <c r="G65" s="6">
        <f t="shared" si="105"/>
        <v>1.2676940639269406E-2</v>
      </c>
      <c r="H65" s="8">
        <f>SUM('KPI_FY 24-25'!H67,'KPI_FY 24-25'!AD67,'KPI_FY 24-25'!AZ67,'KPI_FY 24-25'!BV67,'KPI_FY 24-25'!CR67,'KPI_FY 24-25'!DN67,'KPI_FY 24-25'!EJ67,'KPI_FY 24-25'!FF67,'KPI_FY 24-25'!GB67,'KPI_FY 24-25'!GX67,'KPI_FY 24-25'!HT67,'KPI_FY 24-25'!IP67)</f>
        <v>775.76</v>
      </c>
      <c r="I65" s="6">
        <f t="shared" si="106"/>
        <v>8.8557077625570774E-2</v>
      </c>
      <c r="J65" s="6">
        <f>SUM('KPI_FY 24-25'!J67,'KPI_FY 24-25'!AF67,'KPI_FY 24-25'!BB67,'KPI_FY 24-25'!BX67,'KPI_FY 24-25'!CT67,'KPI_FY 24-25'!DP67,'KPI_FY 24-25'!EL67,'KPI_FY 24-25'!FH67,'KPI_FY 24-25'!GD67,'KPI_FY 24-25'!GZ67,'KPI_FY 24-25'!HV67,'KPI_FY 24-25'!IR67)</f>
        <v>62.88</v>
      </c>
      <c r="K65" s="6">
        <f t="shared" si="107"/>
        <v>7.1780821917808218E-3</v>
      </c>
      <c r="L65" s="8">
        <f>SUM('KPI_FY 24-25'!L67,'KPI_FY 24-25'!AH67,'KPI_FY 24-25'!BD67,'KPI_FY 24-25'!BZ67,'KPI_FY 24-25'!CV67,'KPI_FY 24-25'!DR67,'KPI_FY 24-25'!EN67,'KPI_FY 24-25'!FJ67,'KPI_FY 24-25'!GF67,'KPI_FY 24-25'!HB67,'KPI_FY 24-25'!HX67,'KPI_FY 24-25'!IT67)</f>
        <v>0</v>
      </c>
      <c r="M65" s="6">
        <f t="shared" si="108"/>
        <v>0.89158789954337891</v>
      </c>
      <c r="N65" s="6">
        <f t="shared" si="109"/>
        <v>0.89158789954337891</v>
      </c>
      <c r="O65" s="18">
        <f t="shared" si="110"/>
        <v>2.0325166051390366E-2</v>
      </c>
      <c r="P65" s="6">
        <f t="shared" si="111"/>
        <v>0.6297516666666666</v>
      </c>
      <c r="Q65" s="6">
        <f t="shared" si="112"/>
        <v>0</v>
      </c>
      <c r="R65" s="137">
        <f>SUM('KPI_FY 24-25'!T67,'KPI_FY 24-25'!AP67,'KPI_FY 24-25'!BL67,'KPI_FY 24-25'!CH67,'KPI_FY 24-25'!DD67,'KPI_FY 24-25'!DZ67,'KPI_FY 24-25'!EV67,'KPI_FY 24-25'!FR67,'KPI_FY 24-25'!GN67,'KPI_FY 24-25'!HJ67,'KPI_FY 24-25'!IF67,'KPI_FY 24-25'!JB67)</f>
        <v>137915.61499999999</v>
      </c>
      <c r="S65" s="8">
        <v>25</v>
      </c>
      <c r="T65" s="132">
        <f t="shared" si="113"/>
        <v>0.99999999999999989</v>
      </c>
    </row>
    <row r="66" spans="1:22" x14ac:dyDescent="0.25">
      <c r="A66" s="8"/>
      <c r="B66" s="8" t="s">
        <v>73</v>
      </c>
      <c r="C66" s="6">
        <f>SUM('KPI_FY 24-25'!C68,'KPI_FY 24-25'!Y68,'KPI_FY 24-25'!AU68,'KPI_FY 24-25'!BQ68,'KPI_FY 24-25'!CM68,'KPI_FY 24-25'!DI68,'KPI_FY 24-25'!EE68,'KPI_FY 24-25'!FA68,'KPI_FY 24-25'!FW68,'KPI_FY 24-25'!GS68,'KPI_FY 24-25'!HO68,'KPI_FY 24-25'!IK68)</f>
        <v>3361.36</v>
      </c>
      <c r="D66" s="6">
        <f>SUM('KPI_FY 24-25'!D68,'KPI_FY 24-25'!Z68,'KPI_FY 24-25'!AV68,'KPI_FY 24-25'!BR68,'KPI_FY 24-25'!CN68,'KPI_FY 24-25'!DJ68,'KPI_FY 24-25'!EF68,'KPI_FY 24-25'!FB68,'KPI_FY 24-25'!FX68,'KPI_FY 24-25'!GT68,'KPI_FY 24-25'!HP68,'KPI_FY 24-25'!IL68)</f>
        <v>2769.1</v>
      </c>
      <c r="E66" s="6">
        <f>SUM('KPI_FY 24-25'!E68,'KPI_FY 24-25'!AA68,'KPI_FY 24-25'!AW68,'KPI_FY 24-25'!BS68,'KPI_FY 24-25'!CO68,'KPI_FY 24-25'!DK68,'KPI_FY 24-25'!EG68,'KPI_FY 24-25'!FC68,'KPI_FY 24-25'!FY68,'KPI_FY 24-25'!GU68,'KPI_FY 24-25'!HQ68,'KPI_FY 24-25'!IM68)</f>
        <v>592.26</v>
      </c>
      <c r="F66" s="6">
        <f>SUM('KPI_FY 24-25'!F68,'KPI_FY 24-25'!AB68,'KPI_FY 24-25'!AX68,'KPI_FY 24-25'!BT68,'KPI_FY 24-25'!CP68,'KPI_FY 24-25'!DL68,'KPI_FY 24-25'!EH68,'KPI_FY 24-25'!FD68,'KPI_FY 24-25'!FZ68,'KPI_FY 24-25'!GV68,'KPI_FY 24-25'!HR68,'KPI_FY 24-25'!IN68)</f>
        <v>5398.6399999999994</v>
      </c>
      <c r="G66" s="6">
        <f t="shared" si="105"/>
        <v>0.61628310502283101</v>
      </c>
      <c r="H66" s="8">
        <f>SUM('KPI_FY 24-25'!H68,'KPI_FY 24-25'!AD68,'KPI_FY 24-25'!AZ68,'KPI_FY 24-25'!BV68,'KPI_FY 24-25'!CR68,'KPI_FY 24-25'!DN68,'KPI_FY 24-25'!EJ68,'KPI_FY 24-25'!FF68,'KPI_FY 24-25'!GB68,'KPI_FY 24-25'!GX68,'KPI_FY 24-25'!HT68,'KPI_FY 24-25'!IP68)</f>
        <v>0</v>
      </c>
      <c r="I66" s="6">
        <f t="shared" si="106"/>
        <v>0</v>
      </c>
      <c r="J66" s="6">
        <f>SUM('KPI_FY 24-25'!J68,'KPI_FY 24-25'!AF68,'KPI_FY 24-25'!BB68,'KPI_FY 24-25'!BX68,'KPI_FY 24-25'!CT68,'KPI_FY 24-25'!DP68,'KPI_FY 24-25'!EL68,'KPI_FY 24-25'!FH68,'KPI_FY 24-25'!GD68,'KPI_FY 24-25'!GZ68,'KPI_FY 24-25'!HV68,'KPI_FY 24-25'!IR68)</f>
        <v>0</v>
      </c>
      <c r="K66" s="6">
        <f t="shared" si="107"/>
        <v>0</v>
      </c>
      <c r="L66" s="8">
        <f>SUM('KPI_FY 24-25'!L68,'KPI_FY 24-25'!AH68,'KPI_FY 24-25'!BD68,'KPI_FY 24-25'!BZ68,'KPI_FY 24-25'!CV68,'KPI_FY 24-25'!DR68,'KPI_FY 24-25'!EN68,'KPI_FY 24-25'!FJ68,'KPI_FY 24-25'!GF68,'KPI_FY 24-25'!HB68,'KPI_FY 24-25'!HX68,'KPI_FY 24-25'!IT68)</f>
        <v>0</v>
      </c>
      <c r="M66" s="6">
        <f t="shared" si="108"/>
        <v>0.38371689497716899</v>
      </c>
      <c r="N66" s="6">
        <f t="shared" si="109"/>
        <v>0.38371689497716899</v>
      </c>
      <c r="O66" s="18">
        <f t="shared" si="110"/>
        <v>0.66097108869773025</v>
      </c>
      <c r="P66" s="6">
        <f t="shared" si="111"/>
        <v>0.31769852054794517</v>
      </c>
      <c r="Q66" s="6">
        <f t="shared" si="112"/>
        <v>0</v>
      </c>
      <c r="R66" s="137">
        <f>SUM('KPI_FY 24-25'!T68,'KPI_FY 24-25'!AP68,'KPI_FY 24-25'!BL68,'KPI_FY 24-25'!CH68,'KPI_FY 24-25'!DD68,'KPI_FY 24-25'!DZ68,'KPI_FY 24-25'!EV68,'KPI_FY 24-25'!FR68,'KPI_FY 24-25'!GN68,'KPI_FY 24-25'!HJ68,'KPI_FY 24-25'!IF68,'KPI_FY 24-25'!JB68)</f>
        <v>69575.975999999995</v>
      </c>
      <c r="S66" s="8">
        <v>25</v>
      </c>
      <c r="T66" s="132">
        <f t="shared" si="113"/>
        <v>1</v>
      </c>
    </row>
    <row r="67" spans="1:22" x14ac:dyDescent="0.25">
      <c r="A67" s="8"/>
      <c r="B67" s="8" t="s">
        <v>74</v>
      </c>
      <c r="C67" s="6">
        <f>SUM('KPI_FY 24-25'!C69,'KPI_FY 24-25'!Y69,'KPI_FY 24-25'!AU69,'KPI_FY 24-25'!BQ69,'KPI_FY 24-25'!CM69,'KPI_FY 24-25'!DI69,'KPI_FY 24-25'!EE69,'KPI_FY 24-25'!FA69,'KPI_FY 24-25'!FW69,'KPI_FY 24-25'!GS69,'KPI_FY 24-25'!HO69,'KPI_FY 24-25'!IK69)</f>
        <v>8379.82</v>
      </c>
      <c r="D67" s="6">
        <f>SUM('KPI_FY 24-25'!D69,'KPI_FY 24-25'!Z69,'KPI_FY 24-25'!AV69,'KPI_FY 24-25'!BR69,'KPI_FY 24-25'!CN69,'KPI_FY 24-25'!DJ69,'KPI_FY 24-25'!EF69,'KPI_FY 24-25'!FB69,'KPI_FY 24-25'!FX69,'KPI_FY 24-25'!GT69,'KPI_FY 24-25'!HP69,'KPI_FY 24-25'!IL69)</f>
        <v>6348.93</v>
      </c>
      <c r="E67" s="6">
        <f>SUM('KPI_FY 24-25'!E69,'KPI_FY 24-25'!AA69,'KPI_FY 24-25'!AW69,'KPI_FY 24-25'!BS69,'KPI_FY 24-25'!CO69,'KPI_FY 24-25'!DK69,'KPI_FY 24-25'!EG69,'KPI_FY 24-25'!FC69,'KPI_FY 24-25'!FY69,'KPI_FY 24-25'!GU69,'KPI_FY 24-25'!HQ69,'KPI_FY 24-25'!IM69)</f>
        <v>2030.890000000001</v>
      </c>
      <c r="F67" s="6">
        <f>SUM('KPI_FY 24-25'!F69,'KPI_FY 24-25'!AB69,'KPI_FY 24-25'!AX69,'KPI_FY 24-25'!BT69,'KPI_FY 24-25'!CP69,'KPI_FY 24-25'!DL69,'KPI_FY 24-25'!EH69,'KPI_FY 24-25'!FD69,'KPI_FY 24-25'!FZ69,'KPI_FY 24-25'!GV69,'KPI_FY 24-25'!HR69,'KPI_FY 24-25'!IN69)</f>
        <v>289.11</v>
      </c>
      <c r="G67" s="6">
        <f t="shared" si="105"/>
        <v>3.3003424657534246E-2</v>
      </c>
      <c r="H67" s="8">
        <f>SUM('KPI_FY 24-25'!H69,'KPI_FY 24-25'!AD69,'KPI_FY 24-25'!AZ69,'KPI_FY 24-25'!BV69,'KPI_FY 24-25'!CR69,'KPI_FY 24-25'!DN69,'KPI_FY 24-25'!EJ69,'KPI_FY 24-25'!FF69,'KPI_FY 24-25'!GB69,'KPI_FY 24-25'!GX69,'KPI_FY 24-25'!HT69,'KPI_FY 24-25'!IP69)</f>
        <v>28.29</v>
      </c>
      <c r="I67" s="6">
        <f t="shared" si="106"/>
        <v>3.2294520547945203E-3</v>
      </c>
      <c r="J67" s="6">
        <f>SUM('KPI_FY 24-25'!J69,'KPI_FY 24-25'!AF69,'KPI_FY 24-25'!BB69,'KPI_FY 24-25'!BX69,'KPI_FY 24-25'!CT69,'KPI_FY 24-25'!DP69,'KPI_FY 24-25'!EL69,'KPI_FY 24-25'!FH69,'KPI_FY 24-25'!GD69,'KPI_FY 24-25'!GZ69,'KPI_FY 24-25'!HV69,'KPI_FY 24-25'!IR69)</f>
        <v>62.78</v>
      </c>
      <c r="K67" s="6">
        <f t="shared" si="107"/>
        <v>7.1666666666666667E-3</v>
      </c>
      <c r="L67" s="8">
        <f>SUM('KPI_FY 24-25'!L69,'KPI_FY 24-25'!AH69,'KPI_FY 24-25'!BD69,'KPI_FY 24-25'!BZ69,'KPI_FY 24-25'!CV69,'KPI_FY 24-25'!DR69,'KPI_FY 24-25'!EN69,'KPI_FY 24-25'!FJ69,'KPI_FY 24-25'!GF69,'KPI_FY 24-25'!HB69,'KPI_FY 24-25'!HX69,'KPI_FY 24-25'!IT69)</f>
        <v>0</v>
      </c>
      <c r="M67" s="6">
        <f t="shared" si="108"/>
        <v>0.95660045662100457</v>
      </c>
      <c r="N67" s="6">
        <f t="shared" si="109"/>
        <v>0.95660045662100457</v>
      </c>
      <c r="O67" s="18">
        <f t="shared" si="110"/>
        <v>4.3553518809769154E-2</v>
      </c>
      <c r="P67" s="6">
        <f t="shared" si="111"/>
        <v>0.73278672146118728</v>
      </c>
      <c r="Q67" s="6">
        <f t="shared" si="112"/>
        <v>0</v>
      </c>
      <c r="R67" s="137">
        <f>SUM('KPI_FY 24-25'!T69,'KPI_FY 24-25'!AP69,'KPI_FY 24-25'!BL69,'KPI_FY 24-25'!CH69,'KPI_FY 24-25'!DD69,'KPI_FY 24-25'!DZ69,'KPI_FY 24-25'!EV69,'KPI_FY 24-25'!FR69,'KPI_FY 24-25'!GN69,'KPI_FY 24-25'!HJ69,'KPI_FY 24-25'!IF69,'KPI_FY 24-25'!JB69)</f>
        <v>160480.29200000002</v>
      </c>
      <c r="S67" s="8">
        <v>25</v>
      </c>
      <c r="T67" s="132">
        <f t="shared" si="113"/>
        <v>1</v>
      </c>
    </row>
    <row r="68" spans="1:22" x14ac:dyDescent="0.25">
      <c r="A68" s="8"/>
      <c r="B68" s="8" t="s">
        <v>75</v>
      </c>
      <c r="C68" s="6">
        <f>SUM('KPI_FY 24-25'!C70,'KPI_FY 24-25'!Y70,'KPI_FY 24-25'!AU70,'KPI_FY 24-25'!BQ70,'KPI_FY 24-25'!CM70,'KPI_FY 24-25'!DI70,'KPI_FY 24-25'!EE70,'KPI_FY 24-25'!FA70,'KPI_FY 24-25'!FW70,'KPI_FY 24-25'!GS70,'KPI_FY 24-25'!HO70,'KPI_FY 24-25'!IK70)</f>
        <v>8420.56</v>
      </c>
      <c r="D68" s="6">
        <f>SUM('KPI_FY 24-25'!D70,'KPI_FY 24-25'!Z70,'KPI_FY 24-25'!AV70,'KPI_FY 24-25'!BR70,'KPI_FY 24-25'!CN70,'KPI_FY 24-25'!DJ70,'KPI_FY 24-25'!EF70,'KPI_FY 24-25'!FB70,'KPI_FY 24-25'!FX70,'KPI_FY 24-25'!GT70,'KPI_FY 24-25'!HP70,'KPI_FY 24-25'!IL70)</f>
        <v>6250.5499999999993</v>
      </c>
      <c r="E68" s="6">
        <f>SUM('KPI_FY 24-25'!E70,'KPI_FY 24-25'!AA70,'KPI_FY 24-25'!AW70,'KPI_FY 24-25'!BS70,'KPI_FY 24-25'!CO70,'KPI_FY 24-25'!DK70,'KPI_FY 24-25'!EG70,'KPI_FY 24-25'!FC70,'KPI_FY 24-25'!FY70,'KPI_FY 24-25'!GU70,'KPI_FY 24-25'!HQ70,'KPI_FY 24-25'!IM70)</f>
        <v>2170.0100000000011</v>
      </c>
      <c r="F68" s="6">
        <f>SUM('KPI_FY 24-25'!F70,'KPI_FY 24-25'!AB70,'KPI_FY 24-25'!AX70,'KPI_FY 24-25'!BT70,'KPI_FY 24-25'!CP70,'KPI_FY 24-25'!DL70,'KPI_FY 24-25'!EH70,'KPI_FY 24-25'!FD70,'KPI_FY 24-25'!FZ70,'KPI_FY 24-25'!GV70,'KPI_FY 24-25'!HR70,'KPI_FY 24-25'!IN70)</f>
        <v>245.61</v>
      </c>
      <c r="G68" s="6">
        <f t="shared" si="105"/>
        <v>2.8037671232876715E-2</v>
      </c>
      <c r="H68" s="8">
        <f>SUM('KPI_FY 24-25'!H70,'KPI_FY 24-25'!AD70,'KPI_FY 24-25'!AZ70,'KPI_FY 24-25'!BV70,'KPI_FY 24-25'!CR70,'KPI_FY 24-25'!DN70,'KPI_FY 24-25'!EJ70,'KPI_FY 24-25'!FF70,'KPI_FY 24-25'!GB70,'KPI_FY 24-25'!GX70,'KPI_FY 24-25'!HT70,'KPI_FY 24-25'!IP70)</f>
        <v>27</v>
      </c>
      <c r="I68" s="6">
        <f t="shared" si="106"/>
        <v>3.0821917808219177E-3</v>
      </c>
      <c r="J68" s="6">
        <f>SUM('KPI_FY 24-25'!J70,'KPI_FY 24-25'!AF70,'KPI_FY 24-25'!BB70,'KPI_FY 24-25'!BX70,'KPI_FY 24-25'!CT70,'KPI_FY 24-25'!DP70,'KPI_FY 24-25'!EL70,'KPI_FY 24-25'!FH70,'KPI_FY 24-25'!GD70,'KPI_FY 24-25'!GZ70,'KPI_FY 24-25'!HV70,'KPI_FY 24-25'!IR70)</f>
        <v>66.83</v>
      </c>
      <c r="K68" s="6">
        <f t="shared" si="107"/>
        <v>7.628995433789954E-3</v>
      </c>
      <c r="L68" s="8">
        <f>SUM('KPI_FY 24-25'!L70,'KPI_FY 24-25'!AH70,'KPI_FY 24-25'!BD70,'KPI_FY 24-25'!BZ70,'KPI_FY 24-25'!CV70,'KPI_FY 24-25'!DR70,'KPI_FY 24-25'!EN70,'KPI_FY 24-25'!FJ70,'KPI_FY 24-25'!GF70,'KPI_FY 24-25'!HB70,'KPI_FY 24-25'!HX70,'KPI_FY 24-25'!IT70)</f>
        <v>0</v>
      </c>
      <c r="M68" s="6">
        <f t="shared" si="108"/>
        <v>0.96125114155251135</v>
      </c>
      <c r="N68" s="6">
        <f t="shared" si="109"/>
        <v>0.96125114155251135</v>
      </c>
      <c r="O68" s="18">
        <f t="shared" si="110"/>
        <v>3.7808489938671468E-2</v>
      </c>
      <c r="P68" s="6">
        <f t="shared" si="111"/>
        <v>0.73257118264840171</v>
      </c>
      <c r="Q68" s="6">
        <f t="shared" si="112"/>
        <v>0</v>
      </c>
      <c r="R68" s="137">
        <f>SUM('KPI_FY 24-25'!T70,'KPI_FY 24-25'!AP70,'KPI_FY 24-25'!BL70,'KPI_FY 24-25'!CH70,'KPI_FY 24-25'!DD70,'KPI_FY 24-25'!DZ70,'KPI_FY 24-25'!EV70,'KPI_FY 24-25'!FR70,'KPI_FY 24-25'!GN70,'KPI_FY 24-25'!HJ70,'KPI_FY 24-25'!IF70,'KPI_FY 24-25'!JB70)</f>
        <v>160433.08899999998</v>
      </c>
      <c r="S68" s="8">
        <v>25</v>
      </c>
      <c r="T68" s="132">
        <f t="shared" si="113"/>
        <v>0.99999999999999989</v>
      </c>
    </row>
    <row r="69" spans="1:22" x14ac:dyDescent="0.25">
      <c r="A69" s="8"/>
      <c r="B69" s="8" t="s">
        <v>76</v>
      </c>
      <c r="C69" s="6">
        <f>SUM('KPI_FY 24-25'!C71,'KPI_FY 24-25'!Y71,'KPI_FY 24-25'!AU71,'KPI_FY 24-25'!BQ71,'KPI_FY 24-25'!CM71,'KPI_FY 24-25'!DI71,'KPI_FY 24-25'!EE71,'KPI_FY 24-25'!FA71,'KPI_FY 24-25'!FW71,'KPI_FY 24-25'!GS71,'KPI_FY 24-25'!HO71,'KPI_FY 24-25'!IK71)</f>
        <v>8628.07</v>
      </c>
      <c r="D69" s="6">
        <f>SUM('KPI_FY 24-25'!D71,'KPI_FY 24-25'!Z71,'KPI_FY 24-25'!AV71,'KPI_FY 24-25'!BR71,'KPI_FY 24-25'!CN71,'KPI_FY 24-25'!DJ71,'KPI_FY 24-25'!EF71,'KPI_FY 24-25'!FB71,'KPI_FY 24-25'!FX71,'KPI_FY 24-25'!GT71,'KPI_FY 24-25'!HP71,'KPI_FY 24-25'!IL71)</f>
        <v>6650.87</v>
      </c>
      <c r="E69" s="6">
        <f>SUM('KPI_FY 24-25'!E71,'KPI_FY 24-25'!AA71,'KPI_FY 24-25'!AW71,'KPI_FY 24-25'!BS71,'KPI_FY 24-25'!CO71,'KPI_FY 24-25'!DK71,'KPI_FY 24-25'!EG71,'KPI_FY 24-25'!FC71,'KPI_FY 24-25'!FY71,'KPI_FY 24-25'!GU71,'KPI_FY 24-25'!HQ71,'KPI_FY 24-25'!IM71)</f>
        <v>1977.2000000000035</v>
      </c>
      <c r="F69" s="6">
        <f>SUM('KPI_FY 24-25'!F71,'KPI_FY 24-25'!AB71,'KPI_FY 24-25'!AX71,'KPI_FY 24-25'!BT71,'KPI_FY 24-25'!CP71,'KPI_FY 24-25'!DL71,'KPI_FY 24-25'!EH71,'KPI_FY 24-25'!FD71,'KPI_FY 24-25'!FZ71,'KPI_FY 24-25'!GV71,'KPI_FY 24-25'!HR71,'KPI_FY 24-25'!IN71)</f>
        <v>57.61</v>
      </c>
      <c r="G69" s="6">
        <f t="shared" si="105"/>
        <v>6.5764840182648398E-3</v>
      </c>
      <c r="H69" s="8">
        <f>SUM('KPI_FY 24-25'!H71,'KPI_FY 24-25'!AD71,'KPI_FY 24-25'!AZ71,'KPI_FY 24-25'!BV71,'KPI_FY 24-25'!CR71,'KPI_FY 24-25'!DN71,'KPI_FY 24-25'!EJ71,'KPI_FY 24-25'!FF71,'KPI_FY 24-25'!GB71,'KPI_FY 24-25'!GX71,'KPI_FY 24-25'!HT71,'KPI_FY 24-25'!IP71)</f>
        <v>26.54</v>
      </c>
      <c r="I69" s="6">
        <f t="shared" si="106"/>
        <v>3.0296803652968035E-3</v>
      </c>
      <c r="J69" s="6">
        <f>SUM('KPI_FY 24-25'!J71,'KPI_FY 24-25'!AF71,'KPI_FY 24-25'!BB71,'KPI_FY 24-25'!BX71,'KPI_FY 24-25'!CT71,'KPI_FY 24-25'!DP71,'KPI_FY 24-25'!EL71,'KPI_FY 24-25'!FH71,'KPI_FY 24-25'!GD71,'KPI_FY 24-25'!GZ71,'KPI_FY 24-25'!HV71,'KPI_FY 24-25'!IR71)</f>
        <v>47.78</v>
      </c>
      <c r="K69" s="6">
        <f t="shared" si="107"/>
        <v>5.4543378995433791E-3</v>
      </c>
      <c r="L69" s="8">
        <f>SUM('KPI_FY 24-25'!L71,'KPI_FY 24-25'!AH71,'KPI_FY 24-25'!BD71,'KPI_FY 24-25'!BZ71,'KPI_FY 24-25'!CV71,'KPI_FY 24-25'!DR71,'KPI_FY 24-25'!EN71,'KPI_FY 24-25'!FJ71,'KPI_FY 24-25'!GF71,'KPI_FY 24-25'!HB71,'KPI_FY 24-25'!HX71,'KPI_FY 24-25'!IT71)</f>
        <v>0</v>
      </c>
      <c r="M69" s="6">
        <f t="shared" si="108"/>
        <v>0.98493949771689493</v>
      </c>
      <c r="N69" s="6">
        <f t="shared" si="109"/>
        <v>0.98493949771689493</v>
      </c>
      <c r="O69" s="18">
        <f t="shared" si="110"/>
        <v>8.5876383323793166E-3</v>
      </c>
      <c r="P69" s="6">
        <f t="shared" si="111"/>
        <v>0.75795611872146129</v>
      </c>
      <c r="Q69" s="6">
        <f t="shared" si="112"/>
        <v>0</v>
      </c>
      <c r="R69" s="137">
        <f>SUM('KPI_FY 24-25'!T71,'KPI_FY 24-25'!AP71,'KPI_FY 24-25'!BL71,'KPI_FY 24-25'!CH71,'KPI_FY 24-25'!DD71,'KPI_FY 24-25'!DZ71,'KPI_FY 24-25'!EV71,'KPI_FY 24-25'!FR71,'KPI_FY 24-25'!GN71,'KPI_FY 24-25'!HJ71,'KPI_FY 24-25'!IF71,'KPI_FY 24-25'!JB71)</f>
        <v>165992.39000000001</v>
      </c>
      <c r="S69" s="8">
        <v>25</v>
      </c>
      <c r="T69" s="132">
        <f t="shared" si="113"/>
        <v>1</v>
      </c>
    </row>
    <row r="70" spans="1:22" x14ac:dyDescent="0.25">
      <c r="A70" s="8"/>
      <c r="B70" s="8" t="s">
        <v>77</v>
      </c>
      <c r="C70" s="6">
        <f>SUM('KPI_FY 24-25'!C72,'KPI_FY 24-25'!Y72,'KPI_FY 24-25'!AU72,'KPI_FY 24-25'!BQ72,'KPI_FY 24-25'!CM72,'KPI_FY 24-25'!DI72,'KPI_FY 24-25'!EE72,'KPI_FY 24-25'!FA72,'KPI_FY 24-25'!FW72,'KPI_FY 24-25'!GS72,'KPI_FY 24-25'!HO72,'KPI_FY 24-25'!IK72)</f>
        <v>8474.77</v>
      </c>
      <c r="D70" s="6">
        <f>SUM('KPI_FY 24-25'!D72,'KPI_FY 24-25'!Z72,'KPI_FY 24-25'!AV72,'KPI_FY 24-25'!BR72,'KPI_FY 24-25'!CN72,'KPI_FY 24-25'!DJ72,'KPI_FY 24-25'!EF72,'KPI_FY 24-25'!FB72,'KPI_FY 24-25'!FX72,'KPI_FY 24-25'!GT72,'KPI_FY 24-25'!HP72,'KPI_FY 24-25'!IL72)</f>
        <v>5861.92</v>
      </c>
      <c r="E70" s="6">
        <f>SUM('KPI_FY 24-25'!E72,'KPI_FY 24-25'!AA72,'KPI_FY 24-25'!AW72,'KPI_FY 24-25'!BS72,'KPI_FY 24-25'!CO72,'KPI_FY 24-25'!DK72,'KPI_FY 24-25'!EG72,'KPI_FY 24-25'!FC72,'KPI_FY 24-25'!FY72,'KPI_FY 24-25'!GU72,'KPI_FY 24-25'!HQ72,'KPI_FY 24-25'!IM72)</f>
        <v>2612.8500000000004</v>
      </c>
      <c r="F70" s="6">
        <f>SUM('KPI_FY 24-25'!F72,'KPI_FY 24-25'!AB72,'KPI_FY 24-25'!AX72,'KPI_FY 24-25'!BT72,'KPI_FY 24-25'!CP72,'KPI_FY 24-25'!DL72,'KPI_FY 24-25'!EH72,'KPI_FY 24-25'!FD72,'KPI_FY 24-25'!FZ72,'KPI_FY 24-25'!GV72,'KPI_FY 24-25'!HR72,'KPI_FY 24-25'!IN72)</f>
        <v>195.22</v>
      </c>
      <c r="G70" s="6">
        <f t="shared" si="105"/>
        <v>2.228538812785388E-2</v>
      </c>
      <c r="H70" s="8">
        <f>SUM('KPI_FY 24-25'!H72,'KPI_FY 24-25'!AD72,'KPI_FY 24-25'!AZ72,'KPI_FY 24-25'!BV72,'KPI_FY 24-25'!CR72,'KPI_FY 24-25'!DN72,'KPI_FY 24-25'!EJ72,'KPI_FY 24-25'!FF72,'KPI_FY 24-25'!GB72,'KPI_FY 24-25'!GX72,'KPI_FY 24-25'!HT72,'KPI_FY 24-25'!IP72)</f>
        <v>27.31</v>
      </c>
      <c r="I70" s="6">
        <f t="shared" si="106"/>
        <v>3.1175799086757988E-3</v>
      </c>
      <c r="J70" s="6">
        <f>SUM('KPI_FY 24-25'!J72,'KPI_FY 24-25'!AF72,'KPI_FY 24-25'!BB72,'KPI_FY 24-25'!BX72,'KPI_FY 24-25'!CT72,'KPI_FY 24-25'!DP72,'KPI_FY 24-25'!EL72,'KPI_FY 24-25'!FH72,'KPI_FY 24-25'!GD72,'KPI_FY 24-25'!GZ72,'KPI_FY 24-25'!HV72,'KPI_FY 24-25'!IR72)</f>
        <v>62.7</v>
      </c>
      <c r="K70" s="6">
        <f t="shared" si="107"/>
        <v>7.1575342465753427E-3</v>
      </c>
      <c r="L70" s="8">
        <f>SUM('KPI_FY 24-25'!L72,'KPI_FY 24-25'!AH72,'KPI_FY 24-25'!BD72,'KPI_FY 24-25'!BZ72,'KPI_FY 24-25'!CV72,'KPI_FY 24-25'!DR72,'KPI_FY 24-25'!EN72,'KPI_FY 24-25'!FJ72,'KPI_FY 24-25'!GF72,'KPI_FY 24-25'!HB72,'KPI_FY 24-25'!HX72,'KPI_FY 24-25'!IT72)</f>
        <v>0</v>
      </c>
      <c r="M70" s="6">
        <f t="shared" si="108"/>
        <v>0.96743949771689508</v>
      </c>
      <c r="N70" s="6">
        <f t="shared" si="109"/>
        <v>0.96743949771689508</v>
      </c>
      <c r="O70" s="18">
        <f t="shared" si="110"/>
        <v>3.2229732183835937E-2</v>
      </c>
      <c r="P70" s="6">
        <f t="shared" si="111"/>
        <v>0.66909100456621007</v>
      </c>
      <c r="Q70" s="6">
        <f t="shared" si="112"/>
        <v>0</v>
      </c>
      <c r="R70" s="137">
        <f>SUM('KPI_FY 24-25'!T72,'KPI_FY 24-25'!AP72,'KPI_FY 24-25'!BL72,'KPI_FY 24-25'!CH72,'KPI_FY 24-25'!DD72,'KPI_FY 24-25'!DZ72,'KPI_FY 24-25'!EV72,'KPI_FY 24-25'!FR72,'KPI_FY 24-25'!GN72,'KPI_FY 24-25'!HJ72,'KPI_FY 24-25'!IF72,'KPI_FY 24-25'!JB72)</f>
        <v>146530.93</v>
      </c>
      <c r="S70" s="8">
        <v>25</v>
      </c>
      <c r="T70" s="132">
        <f t="shared" si="113"/>
        <v>1.0000000000000002</v>
      </c>
    </row>
    <row r="71" spans="1:22" x14ac:dyDescent="0.25">
      <c r="A71" s="8"/>
      <c r="B71" s="8" t="s">
        <v>78</v>
      </c>
      <c r="C71" s="6">
        <f>SUM('KPI_FY 24-25'!C73,'KPI_FY 24-25'!Y73,'KPI_FY 24-25'!AU73,'KPI_FY 24-25'!BQ73,'KPI_FY 24-25'!CM73,'KPI_FY 24-25'!DI73,'KPI_FY 24-25'!EE73,'KPI_FY 24-25'!FA73,'KPI_FY 24-25'!FW73,'KPI_FY 24-25'!GS73,'KPI_FY 24-25'!HO73,'KPI_FY 24-25'!IK73)</f>
        <v>4478.26</v>
      </c>
      <c r="D71" s="6">
        <f>SUM('KPI_FY 24-25'!D73,'KPI_FY 24-25'!Z73,'KPI_FY 24-25'!AV73,'KPI_FY 24-25'!BR73,'KPI_FY 24-25'!CN73,'KPI_FY 24-25'!DJ73,'KPI_FY 24-25'!EF73,'KPI_FY 24-25'!FB73,'KPI_FY 24-25'!FX73,'KPI_FY 24-25'!GT73,'KPI_FY 24-25'!HP73,'KPI_FY 24-25'!IL73)</f>
        <v>3523.7</v>
      </c>
      <c r="E71" s="6">
        <f>SUM('KPI_FY 24-25'!E73,'KPI_FY 24-25'!AA73,'KPI_FY 24-25'!AW73,'KPI_FY 24-25'!BS73,'KPI_FY 24-25'!CO73,'KPI_FY 24-25'!DK73,'KPI_FY 24-25'!EG73,'KPI_FY 24-25'!FC73,'KPI_FY 24-25'!FY73,'KPI_FY 24-25'!GU73,'KPI_FY 24-25'!HQ73,'KPI_FY 24-25'!IM73)</f>
        <v>954.56</v>
      </c>
      <c r="F71" s="6">
        <f>SUM('KPI_FY 24-25'!F73,'KPI_FY 24-25'!AB73,'KPI_FY 24-25'!AX73,'KPI_FY 24-25'!BT73,'KPI_FY 24-25'!CP73,'KPI_FY 24-25'!DL73,'KPI_FY 24-25'!EH73,'KPI_FY 24-25'!FD73,'KPI_FY 24-25'!FZ73,'KPI_FY 24-25'!GV73,'KPI_FY 24-25'!HR73,'KPI_FY 24-25'!IN73)</f>
        <v>4234.09</v>
      </c>
      <c r="G71" s="6">
        <f t="shared" si="105"/>
        <v>0.48334360730593606</v>
      </c>
      <c r="H71" s="8">
        <f>SUM('KPI_FY 24-25'!H73,'KPI_FY 24-25'!AD73,'KPI_FY 24-25'!AZ73,'KPI_FY 24-25'!BV73,'KPI_FY 24-25'!CR73,'KPI_FY 24-25'!DN73,'KPI_FY 24-25'!EJ73,'KPI_FY 24-25'!FF73,'KPI_FY 24-25'!GB73,'KPI_FY 24-25'!GX73,'KPI_FY 24-25'!HT73,'KPI_FY 24-25'!IP73)</f>
        <v>24</v>
      </c>
      <c r="I71" s="6">
        <f t="shared" si="106"/>
        <v>2.7397260273972603E-3</v>
      </c>
      <c r="J71" s="6">
        <f>SUM('KPI_FY 24-25'!J73,'KPI_FY 24-25'!AF73,'KPI_FY 24-25'!BB73,'KPI_FY 24-25'!BX73,'KPI_FY 24-25'!CT73,'KPI_FY 24-25'!DP73,'KPI_FY 24-25'!EL73,'KPI_FY 24-25'!FH73,'KPI_FY 24-25'!GD73,'KPI_FY 24-25'!GZ73,'KPI_FY 24-25'!HV73,'KPI_FY 24-25'!IR73)</f>
        <v>23.65</v>
      </c>
      <c r="K71" s="6">
        <f t="shared" si="107"/>
        <v>2.6997716894977168E-3</v>
      </c>
      <c r="L71" s="8">
        <f>SUM('KPI_FY 24-25'!L73,'KPI_FY 24-25'!AH73,'KPI_FY 24-25'!BD73,'KPI_FY 24-25'!BZ73,'KPI_FY 24-25'!CV73,'KPI_FY 24-25'!DR73,'KPI_FY 24-25'!EN73,'KPI_FY 24-25'!FJ73,'KPI_FY 24-25'!GF73,'KPI_FY 24-25'!HB73,'KPI_FY 24-25'!HX73,'KPI_FY 24-25'!IT73)</f>
        <v>0</v>
      </c>
      <c r="M71" s="6">
        <f t="shared" si="108"/>
        <v>0.51121689497716893</v>
      </c>
      <c r="N71" s="6">
        <f t="shared" si="109"/>
        <v>0.51121689497716893</v>
      </c>
      <c r="O71" s="18">
        <f t="shared" si="110"/>
        <v>0.54578559099949864</v>
      </c>
      <c r="P71" s="6">
        <f t="shared" si="111"/>
        <v>0.39510463926940637</v>
      </c>
      <c r="Q71" s="6">
        <f t="shared" si="112"/>
        <v>0</v>
      </c>
      <c r="R71" s="137">
        <f>SUM('KPI_FY 24-25'!T73,'KPI_FY 24-25'!AP73,'KPI_FY 24-25'!BL73,'KPI_FY 24-25'!CH73,'KPI_FY 24-25'!DD73,'KPI_FY 24-25'!DZ73,'KPI_FY 24-25'!EV73,'KPI_FY 24-25'!FR73,'KPI_FY 24-25'!GN73,'KPI_FY 24-25'!HJ73,'KPI_FY 24-25'!IF73,'KPI_FY 24-25'!JB73)</f>
        <v>86527.915999999997</v>
      </c>
      <c r="S71" s="8">
        <v>25</v>
      </c>
      <c r="T71" s="132">
        <f t="shared" si="113"/>
        <v>1</v>
      </c>
    </row>
    <row r="72" spans="1:22" x14ac:dyDescent="0.25">
      <c r="A72" s="8"/>
      <c r="B72" s="8" t="s">
        <v>79</v>
      </c>
      <c r="C72" s="6">
        <f>SUM('KPI_FY 24-25'!C74,'KPI_FY 24-25'!Y74,'KPI_FY 24-25'!AU74,'KPI_FY 24-25'!BQ74,'KPI_FY 24-25'!CM74,'KPI_FY 24-25'!DI74,'KPI_FY 24-25'!EE74,'KPI_FY 24-25'!FA74,'KPI_FY 24-25'!FW74,'KPI_FY 24-25'!GS74,'KPI_FY 24-25'!HO74,'KPI_FY 24-25'!IK74)</f>
        <v>8502.6899999999987</v>
      </c>
      <c r="D72" s="6">
        <f>SUM('KPI_FY 24-25'!D74,'KPI_FY 24-25'!Z74,'KPI_FY 24-25'!AV74,'KPI_FY 24-25'!BR74,'KPI_FY 24-25'!CN74,'KPI_FY 24-25'!DJ74,'KPI_FY 24-25'!EF74,'KPI_FY 24-25'!FB74,'KPI_FY 24-25'!FX74,'KPI_FY 24-25'!GT74,'KPI_FY 24-25'!HP74,'KPI_FY 24-25'!IL74)</f>
        <v>6807.01</v>
      </c>
      <c r="E72" s="6">
        <f>SUM('KPI_FY 24-25'!E74,'KPI_FY 24-25'!AA74,'KPI_FY 24-25'!AW74,'KPI_FY 24-25'!BS74,'KPI_FY 24-25'!CO74,'KPI_FY 24-25'!DK74,'KPI_FY 24-25'!EG74,'KPI_FY 24-25'!FC74,'KPI_FY 24-25'!FY74,'KPI_FY 24-25'!GU74,'KPI_FY 24-25'!HQ74,'KPI_FY 24-25'!IM74)</f>
        <v>1695.68</v>
      </c>
      <c r="F72" s="6">
        <f>SUM('KPI_FY 24-25'!F74,'KPI_FY 24-25'!AB74,'KPI_FY 24-25'!AX74,'KPI_FY 24-25'!BT74,'KPI_FY 24-25'!CP74,'KPI_FY 24-25'!DL74,'KPI_FY 24-25'!EH74,'KPI_FY 24-25'!FD74,'KPI_FY 24-25'!FZ74,'KPI_FY 24-25'!GV74,'KPI_FY 24-25'!HR74,'KPI_FY 24-25'!IN74)</f>
        <v>160.38</v>
      </c>
      <c r="G72" s="6">
        <f t="shared" si="105"/>
        <v>1.8308219178082192E-2</v>
      </c>
      <c r="H72" s="8">
        <f>SUM('KPI_FY 24-25'!H74,'KPI_FY 24-25'!AD74,'KPI_FY 24-25'!AZ74,'KPI_FY 24-25'!BV74,'KPI_FY 24-25'!CR74,'KPI_FY 24-25'!DN74,'KPI_FY 24-25'!EJ74,'KPI_FY 24-25'!FF74,'KPI_FY 24-25'!GB74,'KPI_FY 24-25'!GX74,'KPI_FY 24-25'!HT74,'KPI_FY 24-25'!IP74)</f>
        <v>96.93</v>
      </c>
      <c r="I72" s="6">
        <f t="shared" si="106"/>
        <v>1.1065068493150686E-2</v>
      </c>
      <c r="J72" s="6">
        <f>SUM('KPI_FY 24-25'!J74,'KPI_FY 24-25'!AF74,'KPI_FY 24-25'!BB74,'KPI_FY 24-25'!BX74,'KPI_FY 24-25'!CT74,'KPI_FY 24-25'!DP74,'KPI_FY 24-25'!EL74,'KPI_FY 24-25'!FH74,'KPI_FY 24-25'!GD74,'KPI_FY 24-25'!GZ74,'KPI_FY 24-25'!HV74,'KPI_FY 24-25'!IR74)</f>
        <v>0</v>
      </c>
      <c r="K72" s="6">
        <f t="shared" si="107"/>
        <v>0</v>
      </c>
      <c r="L72" s="8">
        <f>SUM('KPI_FY 24-25'!L74,'KPI_FY 24-25'!AH74,'KPI_FY 24-25'!BD74,'KPI_FY 24-25'!BZ74,'KPI_FY 24-25'!CV74,'KPI_FY 24-25'!DR74,'KPI_FY 24-25'!EN74,'KPI_FY 24-25'!FJ74,'KPI_FY 24-25'!GF74,'KPI_FY 24-25'!HB74,'KPI_FY 24-25'!HX74,'KPI_FY 24-25'!IT74)</f>
        <v>0</v>
      </c>
      <c r="M72" s="6">
        <f t="shared" si="108"/>
        <v>0.97062671232876696</v>
      </c>
      <c r="N72" s="6">
        <f t="shared" si="109"/>
        <v>0.97062671232876696</v>
      </c>
      <c r="O72" s="18">
        <f t="shared" si="110"/>
        <v>2.3018662655599872E-2</v>
      </c>
      <c r="P72" s="6">
        <f t="shared" si="111"/>
        <v>0.76329702283105016</v>
      </c>
      <c r="Q72" s="6">
        <f t="shared" si="112"/>
        <v>0</v>
      </c>
      <c r="R72" s="137">
        <f>SUM('KPI_FY 24-25'!T74,'KPI_FY 24-25'!AP74,'KPI_FY 24-25'!BL74,'KPI_FY 24-25'!CH74,'KPI_FY 24-25'!DD74,'KPI_FY 24-25'!DZ74,'KPI_FY 24-25'!EV74,'KPI_FY 24-25'!FR74,'KPI_FY 24-25'!GN74,'KPI_FY 24-25'!HJ74,'KPI_FY 24-25'!IF74,'KPI_FY 24-25'!JB74)</f>
        <v>167162.04799999998</v>
      </c>
      <c r="S72" s="8">
        <v>25</v>
      </c>
      <c r="T72" s="132">
        <f t="shared" si="113"/>
        <v>0.99999999999999989</v>
      </c>
    </row>
    <row r="73" spans="1:22" x14ac:dyDescent="0.25">
      <c r="A73" s="74" t="s">
        <v>80</v>
      </c>
      <c r="B73" s="37" t="s">
        <v>70</v>
      </c>
      <c r="C73" s="6">
        <f>SUM('KPI_FY 24-25'!C75,'KPI_FY 24-25'!Y75,'KPI_FY 24-25'!AU75,'KPI_FY 24-25'!BQ75,'KPI_FY 24-25'!CM75,'KPI_FY 24-25'!DI75,'KPI_FY 24-25'!EE75,'KPI_FY 24-25'!FA75,'KPI_FY 24-25'!FW75,'KPI_FY 24-25'!GS75,'KPI_FY 24-25'!HO75,'KPI_FY 24-25'!IK75)</f>
        <v>8682</v>
      </c>
      <c r="D73" s="6">
        <f>SUM('KPI_FY 24-25'!D75,'KPI_FY 24-25'!Z75,'KPI_FY 24-25'!AV75,'KPI_FY 24-25'!BR75,'KPI_FY 24-25'!CN75,'KPI_FY 24-25'!DJ75,'KPI_FY 24-25'!EF75,'KPI_FY 24-25'!FB75,'KPI_FY 24-25'!FX75,'KPI_FY 24-25'!GT75,'KPI_FY 24-25'!HP75,'KPI_FY 24-25'!IL75)</f>
        <v>7142.23</v>
      </c>
      <c r="E73" s="6">
        <f>SUM('KPI_FY 24-25'!E75,'KPI_FY 24-25'!AA75,'KPI_FY 24-25'!AW75,'KPI_FY 24-25'!BS75,'KPI_FY 24-25'!CO75,'KPI_FY 24-25'!DK75,'KPI_FY 24-25'!EG75,'KPI_FY 24-25'!FC75,'KPI_FY 24-25'!FY75,'KPI_FY 24-25'!GU75,'KPI_FY 24-25'!HQ75,'KPI_FY 24-25'!IM75)</f>
        <v>1539.77</v>
      </c>
      <c r="F73" s="6">
        <f>SUM('KPI_FY 24-25'!F75,'KPI_FY 24-25'!AB75,'KPI_FY 24-25'!AX75,'KPI_FY 24-25'!BT75,'KPI_FY 24-25'!CP75,'KPI_FY 24-25'!DL75,'KPI_FY 24-25'!EH75,'KPI_FY 24-25'!FD75,'KPI_FY 24-25'!FZ75,'KPI_FY 24-25'!GV75,'KPI_FY 24-25'!HR75,'KPI_FY 24-25'!IN75)</f>
        <v>18.66</v>
      </c>
      <c r="G73" s="6">
        <f t="shared" si="105"/>
        <v>2.1301369863013699E-3</v>
      </c>
      <c r="H73" s="8">
        <f>SUM('KPI_FY 24-25'!H75,'KPI_FY 24-25'!AD75,'KPI_FY 24-25'!AZ75,'KPI_FY 24-25'!BV75,'KPI_FY 24-25'!CR75,'KPI_FY 24-25'!DN75,'KPI_FY 24-25'!EJ75,'KPI_FY 24-25'!FF75,'KPI_FY 24-25'!GB75,'KPI_FY 24-25'!GX75,'KPI_FY 24-25'!HT75,'KPI_FY 24-25'!IP75)</f>
        <v>0</v>
      </c>
      <c r="I73" s="6">
        <f t="shared" si="106"/>
        <v>0</v>
      </c>
      <c r="J73" s="6">
        <f>SUM('KPI_FY 24-25'!J75,'KPI_FY 24-25'!AF75,'KPI_FY 24-25'!BB75,'KPI_FY 24-25'!BX75,'KPI_FY 24-25'!CT75,'KPI_FY 24-25'!DP75,'KPI_FY 24-25'!EL75,'KPI_FY 24-25'!FH75,'KPI_FY 24-25'!GD75,'KPI_FY 24-25'!GZ75,'KPI_FY 24-25'!HV75,'KPI_FY 24-25'!IR75)</f>
        <v>59.34</v>
      </c>
      <c r="K73" s="6">
        <f t="shared" si="107"/>
        <v>6.7739726027397267E-3</v>
      </c>
      <c r="L73" s="8">
        <f>SUM('KPI_FY 24-25'!L75,'KPI_FY 24-25'!AH75,'KPI_FY 24-25'!BD75,'KPI_FY 24-25'!BZ75,'KPI_FY 24-25'!CV75,'KPI_FY 24-25'!DR75,'KPI_FY 24-25'!EN75,'KPI_FY 24-25'!FJ75,'KPI_FY 24-25'!GF75,'KPI_FY 24-25'!HB75,'KPI_FY 24-25'!HX75,'KPI_FY 24-25'!IT75)</f>
        <v>0</v>
      </c>
      <c r="M73" s="6">
        <f t="shared" si="108"/>
        <v>0.99109589041095891</v>
      </c>
      <c r="N73" s="6">
        <f t="shared" si="109"/>
        <v>0.99109589041095891</v>
      </c>
      <c r="O73" s="18">
        <f t="shared" si="110"/>
        <v>2.6058213434363609E-3</v>
      </c>
      <c r="P73" s="6">
        <f t="shared" si="111"/>
        <v>0.79539092237442932</v>
      </c>
      <c r="Q73" s="6">
        <f t="shared" si="112"/>
        <v>0</v>
      </c>
      <c r="R73" s="137">
        <f>SUM('KPI_FY 24-25'!T75,'KPI_FY 24-25'!AP75,'KPI_FY 24-25'!BL75,'KPI_FY 24-25'!CH75,'KPI_FY 24-25'!DD75,'KPI_FY 24-25'!DZ75,'KPI_FY 24-25'!EV75,'KPI_FY 24-25'!FR75,'KPI_FY 24-25'!GN75,'KPI_FY 24-25'!HJ75,'KPI_FY 24-25'!IF75,'KPI_FY 24-25'!JB75)</f>
        <v>174190.61200000002</v>
      </c>
      <c r="S73" s="8">
        <v>25</v>
      </c>
      <c r="T73" s="132">
        <f t="shared" si="113"/>
        <v>1</v>
      </c>
    </row>
    <row r="74" spans="1:22" x14ac:dyDescent="0.25">
      <c r="A74" s="8"/>
      <c r="B74" s="37" t="s">
        <v>71</v>
      </c>
      <c r="C74" s="6">
        <f>SUM('KPI_FY 24-25'!C76,'KPI_FY 24-25'!Y76,'KPI_FY 24-25'!AU76,'KPI_FY 24-25'!BQ76,'KPI_FY 24-25'!CM76,'KPI_FY 24-25'!DI76,'KPI_FY 24-25'!EE76,'KPI_FY 24-25'!FA76,'KPI_FY 24-25'!FW76,'KPI_FY 24-25'!GS76,'KPI_FY 24-25'!HO76,'KPI_FY 24-25'!IK76)</f>
        <v>8486.4500000000007</v>
      </c>
      <c r="D74" s="6">
        <f>SUM('KPI_FY 24-25'!D76,'KPI_FY 24-25'!Z76,'KPI_FY 24-25'!AV76,'KPI_FY 24-25'!BR76,'KPI_FY 24-25'!CN76,'KPI_FY 24-25'!DJ76,'KPI_FY 24-25'!EF76,'KPI_FY 24-25'!FB76,'KPI_FY 24-25'!FX76,'KPI_FY 24-25'!GT76,'KPI_FY 24-25'!HP76,'KPI_FY 24-25'!IL76)</f>
        <v>6942.32</v>
      </c>
      <c r="E74" s="6">
        <f>SUM('KPI_FY 24-25'!E76,'KPI_FY 24-25'!AA76,'KPI_FY 24-25'!AW76,'KPI_FY 24-25'!BS76,'KPI_FY 24-25'!CO76,'KPI_FY 24-25'!DK76,'KPI_FY 24-25'!EG76,'KPI_FY 24-25'!FC76,'KPI_FY 24-25'!FY76,'KPI_FY 24-25'!GU76,'KPI_FY 24-25'!HQ76,'KPI_FY 24-25'!IM76)</f>
        <v>1544.13</v>
      </c>
      <c r="F74" s="6">
        <f>SUM('KPI_FY 24-25'!F76,'KPI_FY 24-25'!AB76,'KPI_FY 24-25'!AX76,'KPI_FY 24-25'!BT76,'KPI_FY 24-25'!CP76,'KPI_FY 24-25'!DL76,'KPI_FY 24-25'!EH76,'KPI_FY 24-25'!FD76,'KPI_FY 24-25'!FZ76,'KPI_FY 24-25'!GV76,'KPI_FY 24-25'!HR76,'KPI_FY 24-25'!IN76)</f>
        <v>215.73000000000002</v>
      </c>
      <c r="G74" s="6">
        <f t="shared" si="105"/>
        <v>2.4626712328767127E-2</v>
      </c>
      <c r="H74" s="8">
        <f>SUM('KPI_FY 24-25'!H76,'KPI_FY 24-25'!AD76,'KPI_FY 24-25'!AZ76,'KPI_FY 24-25'!BV76,'KPI_FY 24-25'!CR76,'KPI_FY 24-25'!DN76,'KPI_FY 24-25'!EJ76,'KPI_FY 24-25'!FF76,'KPI_FY 24-25'!GB76,'KPI_FY 24-25'!GX76,'KPI_FY 24-25'!HT76,'KPI_FY 24-25'!IP76)</f>
        <v>0</v>
      </c>
      <c r="I74" s="6">
        <f t="shared" si="106"/>
        <v>0</v>
      </c>
      <c r="J74" s="6">
        <f>SUM('KPI_FY 24-25'!J76,'KPI_FY 24-25'!AF76,'KPI_FY 24-25'!BB76,'KPI_FY 24-25'!BX76,'KPI_FY 24-25'!CT76,'KPI_FY 24-25'!DP76,'KPI_FY 24-25'!EL76,'KPI_FY 24-25'!FH76,'KPI_FY 24-25'!GD76,'KPI_FY 24-25'!GZ76,'KPI_FY 24-25'!HV76,'KPI_FY 24-25'!IR76)</f>
        <v>57.82</v>
      </c>
      <c r="K74" s="6">
        <f t="shared" si="107"/>
        <v>6.6004566210045666E-3</v>
      </c>
      <c r="L74" s="8">
        <f>SUM('KPI_FY 24-25'!L76,'KPI_FY 24-25'!AH76,'KPI_FY 24-25'!BD76,'KPI_FY 24-25'!BZ76,'KPI_FY 24-25'!CV76,'KPI_FY 24-25'!DR76,'KPI_FY 24-25'!EN76,'KPI_FY 24-25'!FJ76,'KPI_FY 24-25'!GF76,'KPI_FY 24-25'!HB76,'KPI_FY 24-25'!HX76,'KPI_FY 24-25'!IT76)</f>
        <v>0</v>
      </c>
      <c r="M74" s="6">
        <f t="shared" si="108"/>
        <v>0.96877283105022838</v>
      </c>
      <c r="N74" s="6">
        <f t="shared" si="109"/>
        <v>0.96877283105022838</v>
      </c>
      <c r="O74" s="18">
        <f t="shared" si="110"/>
        <v>3.0138096269235342E-2</v>
      </c>
      <c r="P74" s="6">
        <f t="shared" si="111"/>
        <v>0.76726160730593629</v>
      </c>
      <c r="Q74" s="6">
        <f t="shared" si="112"/>
        <v>0</v>
      </c>
      <c r="R74" s="137">
        <f>SUM('KPI_FY 24-25'!T76,'KPI_FY 24-25'!AP76,'KPI_FY 24-25'!BL76,'KPI_FY 24-25'!CH76,'KPI_FY 24-25'!DD76,'KPI_FY 24-25'!DZ76,'KPI_FY 24-25'!EV76,'KPI_FY 24-25'!FR76,'KPI_FY 24-25'!GN76,'KPI_FY 24-25'!HJ76,'KPI_FY 24-25'!IF76,'KPI_FY 24-25'!JB76)</f>
        <v>168030.29200000004</v>
      </c>
      <c r="S74" s="8">
        <v>25</v>
      </c>
      <c r="T74" s="132">
        <f t="shared" si="113"/>
        <v>1.0000000000000002</v>
      </c>
    </row>
    <row r="75" spans="1:22" x14ac:dyDescent="0.25">
      <c r="A75" s="8"/>
      <c r="B75" s="37" t="s">
        <v>72</v>
      </c>
      <c r="C75" s="6">
        <f>SUM('KPI_FY 24-25'!C77,'KPI_FY 24-25'!Y77,'KPI_FY 24-25'!AU77,'KPI_FY 24-25'!BQ77,'KPI_FY 24-25'!CM77,'KPI_FY 24-25'!DI77,'KPI_FY 24-25'!EE77,'KPI_FY 24-25'!FA77,'KPI_FY 24-25'!FW77,'KPI_FY 24-25'!GS77,'KPI_FY 24-25'!HO77,'KPI_FY 24-25'!IK77)</f>
        <v>8636.2999999999993</v>
      </c>
      <c r="D75" s="6">
        <f>SUM('KPI_FY 24-25'!D77,'KPI_FY 24-25'!Z77,'KPI_FY 24-25'!AV77,'KPI_FY 24-25'!BR77,'KPI_FY 24-25'!CN77,'KPI_FY 24-25'!DJ77,'KPI_FY 24-25'!EF77,'KPI_FY 24-25'!FB77,'KPI_FY 24-25'!FX77,'KPI_FY 24-25'!GT77,'KPI_FY 24-25'!HP77,'KPI_FY 24-25'!IL77)</f>
        <v>6751.5399999999991</v>
      </c>
      <c r="E75" s="6">
        <f>SUM('KPI_FY 24-25'!E77,'KPI_FY 24-25'!AA77,'KPI_FY 24-25'!AW77,'KPI_FY 24-25'!BS77,'KPI_FY 24-25'!CO77,'KPI_FY 24-25'!DK77,'KPI_FY 24-25'!EG77,'KPI_FY 24-25'!FC77,'KPI_FY 24-25'!FY77,'KPI_FY 24-25'!GU77,'KPI_FY 24-25'!HQ77,'KPI_FY 24-25'!IM77)</f>
        <v>1884.76</v>
      </c>
      <c r="F75" s="6">
        <f>SUM('KPI_FY 24-25'!F77,'KPI_FY 24-25'!AB77,'KPI_FY 24-25'!AX77,'KPI_FY 24-25'!BT77,'KPI_FY 24-25'!CP77,'KPI_FY 24-25'!DL77,'KPI_FY 24-25'!EH77,'KPI_FY 24-25'!FD77,'KPI_FY 24-25'!FZ77,'KPI_FY 24-25'!GV77,'KPI_FY 24-25'!HR77,'KPI_FY 24-25'!IN77)</f>
        <v>28.220000000000002</v>
      </c>
      <c r="G75" s="6">
        <f t="shared" si="105"/>
        <v>3.221461187214612E-3</v>
      </c>
      <c r="H75" s="8">
        <f>SUM('KPI_FY 24-25'!H77,'KPI_FY 24-25'!AD77,'KPI_FY 24-25'!AZ77,'KPI_FY 24-25'!BV77,'KPI_FY 24-25'!CR77,'KPI_FY 24-25'!DN77,'KPI_FY 24-25'!EJ77,'KPI_FY 24-25'!FF77,'KPI_FY 24-25'!GB77,'KPI_FY 24-25'!GX77,'KPI_FY 24-25'!HT77,'KPI_FY 24-25'!IP77)</f>
        <v>0</v>
      </c>
      <c r="I75" s="6">
        <f t="shared" si="106"/>
        <v>0</v>
      </c>
      <c r="J75" s="6">
        <f>SUM('KPI_FY 24-25'!J77,'KPI_FY 24-25'!AF77,'KPI_FY 24-25'!BB77,'KPI_FY 24-25'!BX77,'KPI_FY 24-25'!CT77,'KPI_FY 24-25'!DP77,'KPI_FY 24-25'!EL77,'KPI_FY 24-25'!FH77,'KPI_FY 24-25'!GD77,'KPI_FY 24-25'!GZ77,'KPI_FY 24-25'!HV77,'KPI_FY 24-25'!IR77)</f>
        <v>95.48</v>
      </c>
      <c r="K75" s="6">
        <f t="shared" si="107"/>
        <v>1.0899543378995433E-2</v>
      </c>
      <c r="L75" s="8">
        <f>SUM('KPI_FY 24-25'!L77,'KPI_FY 24-25'!AH77,'KPI_FY 24-25'!BD77,'KPI_FY 24-25'!BZ77,'KPI_FY 24-25'!CV77,'KPI_FY 24-25'!DR77,'KPI_FY 24-25'!EN77,'KPI_FY 24-25'!FJ77,'KPI_FY 24-25'!GF77,'KPI_FY 24-25'!HB77,'KPI_FY 24-25'!HX77,'KPI_FY 24-25'!IT77)</f>
        <v>0</v>
      </c>
      <c r="M75" s="6">
        <f t="shared" si="108"/>
        <v>0.98587899543378987</v>
      </c>
      <c r="N75" s="6">
        <f t="shared" si="109"/>
        <v>0.98587899543378987</v>
      </c>
      <c r="O75" s="18">
        <f t="shared" si="110"/>
        <v>4.1623892291172554E-3</v>
      </c>
      <c r="P75" s="6">
        <f t="shared" si="111"/>
        <v>0.82483412100456621</v>
      </c>
      <c r="Q75" s="6">
        <f t="shared" si="112"/>
        <v>0</v>
      </c>
      <c r="R75" s="137">
        <f>SUM('KPI_FY 24-25'!T77,'KPI_FY 24-25'!AP77,'KPI_FY 24-25'!BL77,'KPI_FY 24-25'!CH77,'KPI_FY 24-25'!DD77,'KPI_FY 24-25'!DZ77,'KPI_FY 24-25'!EV77,'KPI_FY 24-25'!FR77,'KPI_FY 24-25'!GN77,'KPI_FY 24-25'!HJ77,'KPI_FY 24-25'!IF77,'KPI_FY 24-25'!JB77)</f>
        <v>144510.93799999999</v>
      </c>
      <c r="S75" s="8">
        <v>20</v>
      </c>
      <c r="T75" s="132">
        <f t="shared" si="113"/>
        <v>0.99999999999999989</v>
      </c>
    </row>
    <row r="76" spans="1:22" x14ac:dyDescent="0.25">
      <c r="A76" s="8"/>
      <c r="B76" s="37" t="s">
        <v>73</v>
      </c>
      <c r="C76" s="6">
        <f>SUM('KPI_FY 24-25'!C78,'KPI_FY 24-25'!Y78,'KPI_FY 24-25'!AU78,'KPI_FY 24-25'!BQ78,'KPI_FY 24-25'!CM78,'KPI_FY 24-25'!DI78,'KPI_FY 24-25'!EE78,'KPI_FY 24-25'!FA78,'KPI_FY 24-25'!FW78,'KPI_FY 24-25'!GS78,'KPI_FY 24-25'!HO78,'KPI_FY 24-25'!IK78)</f>
        <v>7764.8300000000008</v>
      </c>
      <c r="D76" s="6">
        <f>SUM('KPI_FY 24-25'!D78,'KPI_FY 24-25'!Z78,'KPI_FY 24-25'!AV78,'KPI_FY 24-25'!BR78,'KPI_FY 24-25'!CN78,'KPI_FY 24-25'!DJ78,'KPI_FY 24-25'!EF78,'KPI_FY 24-25'!FB78,'KPI_FY 24-25'!FX78,'KPI_FY 24-25'!GT78,'KPI_FY 24-25'!HP78,'KPI_FY 24-25'!IL78)</f>
        <v>5864.369999999999</v>
      </c>
      <c r="E76" s="6">
        <f>SUM('KPI_FY 24-25'!E78,'KPI_FY 24-25'!AA78,'KPI_FY 24-25'!AW78,'KPI_FY 24-25'!BS78,'KPI_FY 24-25'!CO78,'KPI_FY 24-25'!DK78,'KPI_FY 24-25'!EG78,'KPI_FY 24-25'!FC78,'KPI_FY 24-25'!FY78,'KPI_FY 24-25'!GU78,'KPI_FY 24-25'!HQ78,'KPI_FY 24-25'!IM78)</f>
        <v>1900.4599999999996</v>
      </c>
      <c r="F76" s="6">
        <f>SUM('KPI_FY 24-25'!F78,'KPI_FY 24-25'!AB78,'KPI_FY 24-25'!AX78,'KPI_FY 24-25'!BT78,'KPI_FY 24-25'!CP78,'KPI_FY 24-25'!DL78,'KPI_FY 24-25'!EH78,'KPI_FY 24-25'!FD78,'KPI_FY 24-25'!FZ78,'KPI_FY 24-25'!GV78,'KPI_FY 24-25'!HR78,'KPI_FY 24-25'!IN78)</f>
        <v>880.2</v>
      </c>
      <c r="G76" s="6">
        <f t="shared" si="105"/>
        <v>0.10047945205479453</v>
      </c>
      <c r="H76" s="8">
        <f>SUM('KPI_FY 24-25'!H78,'KPI_FY 24-25'!AD78,'KPI_FY 24-25'!AZ78,'KPI_FY 24-25'!BV78,'KPI_FY 24-25'!CR78,'KPI_FY 24-25'!DN78,'KPI_FY 24-25'!EJ78,'KPI_FY 24-25'!FF78,'KPI_FY 24-25'!GB78,'KPI_FY 24-25'!GX78,'KPI_FY 24-25'!HT78,'KPI_FY 24-25'!IP78)</f>
        <v>26.38</v>
      </c>
      <c r="I76" s="6">
        <f t="shared" si="106"/>
        <v>3.0114155251141552E-3</v>
      </c>
      <c r="J76" s="6">
        <f>SUM('KPI_FY 24-25'!J78,'KPI_FY 24-25'!AF78,'KPI_FY 24-25'!BB78,'KPI_FY 24-25'!BX78,'KPI_FY 24-25'!CT78,'KPI_FY 24-25'!DP78,'KPI_FY 24-25'!EL78,'KPI_FY 24-25'!FH78,'KPI_FY 24-25'!GD78,'KPI_FY 24-25'!GZ78,'KPI_FY 24-25'!HV78,'KPI_FY 24-25'!IR78)</f>
        <v>88.59</v>
      </c>
      <c r="K76" s="6">
        <f t="shared" si="107"/>
        <v>1.0113013698630137E-2</v>
      </c>
      <c r="L76" s="8">
        <f>SUM('KPI_FY 24-25'!L78,'KPI_FY 24-25'!AH78,'KPI_FY 24-25'!BD78,'KPI_FY 24-25'!BZ78,'KPI_FY 24-25'!CV78,'KPI_FY 24-25'!DR78,'KPI_FY 24-25'!EN78,'KPI_FY 24-25'!FJ78,'KPI_FY 24-25'!GF78,'KPI_FY 24-25'!HB78,'KPI_FY 24-25'!HX78,'KPI_FY 24-25'!IT78)</f>
        <v>0</v>
      </c>
      <c r="M76" s="6">
        <f t="shared" si="108"/>
        <v>0.88639611872146129</v>
      </c>
      <c r="N76" s="6">
        <f t="shared" si="109"/>
        <v>0.88639611872146129</v>
      </c>
      <c r="O76" s="18">
        <f t="shared" si="110"/>
        <v>0.13050498400935867</v>
      </c>
      <c r="P76" s="6">
        <f t="shared" si="111"/>
        <v>0.66996414383561642</v>
      </c>
      <c r="Q76" s="6">
        <f t="shared" si="112"/>
        <v>0</v>
      </c>
      <c r="R76" s="137">
        <f>SUM('KPI_FY 24-25'!T78,'KPI_FY 24-25'!AP78,'KPI_FY 24-25'!BL78,'KPI_FY 24-25'!CH78,'KPI_FY 24-25'!DD78,'KPI_FY 24-25'!DZ78,'KPI_FY 24-25'!EV78,'KPI_FY 24-25'!FR78,'KPI_FY 24-25'!GN78,'KPI_FY 24-25'!HJ78,'KPI_FY 24-25'!IF78,'KPI_FY 24-25'!JB78)</f>
        <v>117377.71799999999</v>
      </c>
      <c r="S76" s="8">
        <v>20</v>
      </c>
      <c r="T76" s="132">
        <f t="shared" si="113"/>
        <v>1.0000000000000002</v>
      </c>
    </row>
    <row r="77" spans="1:22" x14ac:dyDescent="0.25">
      <c r="B77" s="32" t="s">
        <v>84</v>
      </c>
      <c r="C77" s="128">
        <f>SUM(C63:C76)</f>
        <v>107422.26</v>
      </c>
      <c r="D77" s="128">
        <f t="shared" ref="D77:L77" si="114">SUM(D63:D76)</f>
        <v>81480.209999999977</v>
      </c>
      <c r="E77" s="128">
        <f t="shared" ref="E77" si="115">SUM(E63:E76)</f>
        <v>25942.05000000001</v>
      </c>
      <c r="F77" s="128">
        <f t="shared" si="114"/>
        <v>13367.449999999997</v>
      </c>
      <c r="G77" s="118">
        <f>(G63*S63+G64*S64+G65*S65+G66*S66+G67*S67+G68*S68+G69*S69+G70*S70+G71*S71+G72*S72+G73*S73+G74*S74+G75*S75+G76*S76)/S77</f>
        <v>0.11067826685468707</v>
      </c>
      <c r="H77" s="128">
        <f t="shared" si="114"/>
        <v>1101.75</v>
      </c>
      <c r="I77" s="118">
        <f>(I63*S63+I64*S64+I65*S65+I66*S66+I67*S67+I68*S68+I69*S69+I70*S70+I71*S71+I72*S72+I73*S73+I74*S74+I75*S75+I76*S76)/S77</f>
        <v>9.2035488853075484E-3</v>
      </c>
      <c r="J77" s="120">
        <f t="shared" ref="J77" si="116">SUM(J63:J76)</f>
        <v>748.54000000000008</v>
      </c>
      <c r="K77" s="118">
        <f>(K63*S63+K64*S64+K65*S65+K66*S66+K67*S67+K68*S68+K69*S69+K70*S70+K71*S71+K72*S72+K73*S73+K74*S74+K75*S75+K76*S76)/S77</f>
        <v>5.9740632554391611E-3</v>
      </c>
      <c r="L77" s="48">
        <f t="shared" si="114"/>
        <v>0</v>
      </c>
      <c r="M77" s="118">
        <f>(M63*S63+M64*S64+M65*S65+M66*S66+M67*S67+M68*S68+M69*S69+M70*S70+M71*S71+M72*S72+M73*S73+M74*S74+M75*S75+M76*S76)/S77</f>
        <v>0.87414412100456618</v>
      </c>
      <c r="N77" s="118">
        <f>(N63*S63+N64*S64+N65*S65+N66*S66+N67*S67+N68*S68+N69*S69+N70*S70+N71*S71+N72*S72+N73*S73+N74*S74+N75*S75+N76*S76)/S77</f>
        <v>0.87414412100456618</v>
      </c>
      <c r="O77" s="118">
        <f>(O63*S63+O64*S64+O65*S65+O66*S66+O67*S67+O68*S68+O69*S69+O70*S70+O71*S71+O72*S72+O73*S73+O74*S74+O75*S75+O76*S76)/S77</f>
        <v>0.12924374516609374</v>
      </c>
      <c r="P77" s="118">
        <f>(P63*S63+P64*S64+P65*S65+P66*S66+P67*S67+P68*S68+P69*S69+P70*S70+P71*S71+P72*S72+P73*S73+P74*S74+P75*S75+P76*S76)/S77</f>
        <v>0.66625088302444269</v>
      </c>
      <c r="Q77" s="118">
        <f>(Q63*S63+Q64*S64+Q65*S65+Q66*S66+Q67*S67+Q68*S68+Q69*S69+Q70*S70+Q71*S71+Q72*S72+Q73*S73+Q74*S74+Q75*S75+Q76*S76)/S77</f>
        <v>0</v>
      </c>
      <c r="R77" s="139">
        <f>SUM(R63:R76)</f>
        <v>1984361.6300000004</v>
      </c>
      <c r="S77" s="48">
        <f>SUM(S63:S76)</f>
        <v>340</v>
      </c>
    </row>
    <row r="78" spans="1:22" x14ac:dyDescent="0.25">
      <c r="B78" s="36" t="s">
        <v>86</v>
      </c>
      <c r="C78" s="142">
        <f>SUM(C31,C35,C38,C41,C44,C47,C50,C54,C57,C62,C77)</f>
        <v>263784.21000000002</v>
      </c>
      <c r="D78" s="142">
        <f t="shared" ref="D78:F78" si="117">SUM(D31,D35,D38,D41,D44,D47,D50,D54,D57,D62,D77)</f>
        <v>133012.95999999996</v>
      </c>
      <c r="E78" s="142">
        <f t="shared" si="117"/>
        <v>131037.96000000002</v>
      </c>
      <c r="F78" s="142">
        <f t="shared" si="117"/>
        <v>96444.184999999983</v>
      </c>
      <c r="G78" s="143">
        <f>(G31*$S$31+G35*$S$35+G38*$S$38+G41*$S$41+G44*$S$44+G47*$S$47+G50*$S$50+G54*$S$54+G57*$S$57+G62*$S$62+G77*$S$77)/$S$78</f>
        <v>0.22939140597460303</v>
      </c>
      <c r="H78" s="142">
        <f t="shared" ref="H78" si="118">SUM(H31,H35,H38,H41,H44,H47,H50,H54,H57,H62,H77)</f>
        <v>41491.870000000003</v>
      </c>
      <c r="I78" s="143">
        <f>(I31*$S$31+I35*$S$35+I38*$S$38+I41*$S$41+I44*$S$44+I47*$S$47+I50*$S$50+I54*$S$54+I57*$S$57+I62*$S$62+I77*$S$77)/$S$78</f>
        <v>0.15105036835733943</v>
      </c>
      <c r="J78" s="142">
        <f t="shared" ref="J78" si="119">SUM(J31,J35,J38,J41,J44,J47,J50,J54,J57,J62,J77)</f>
        <v>1240.1350000000002</v>
      </c>
      <c r="K78" s="162">
        <f>(K31*$S$31+K35*$S$35+K38*$S$38+K41*$S$41+K44*$S$44+K47*$S$47+K50*$S$50+K54*$S$54+K57*$S$57+K62*$S$62+K77*$S$77)/$S$78</f>
        <v>3.0937183186728204E-3</v>
      </c>
      <c r="L78" s="145">
        <f t="shared" ref="L78" si="120">SUM(L31,L35,L38,L41,L44,L47,L50,L54,L57,L62,L77)</f>
        <v>0</v>
      </c>
      <c r="M78" s="143">
        <f t="shared" ref="M78:Q78" si="121">(M31*$S$31+M35*$S$35+M38*$S$38+M41*$S$41+M44*$S$44+M47*$S$47+M50*$S$50+M54*$S$54+M57*$S$57+M62*$S$62+M77*$S$77)/$S$78</f>
        <v>0.61646676176188486</v>
      </c>
      <c r="N78" s="143">
        <f t="shared" si="121"/>
        <v>0.61646676176188486</v>
      </c>
      <c r="O78" s="143">
        <f t="shared" si="121"/>
        <v>0.31571906676371647</v>
      </c>
      <c r="P78" s="143">
        <f t="shared" si="121"/>
        <v>0.25886276120443019</v>
      </c>
      <c r="Q78" s="143">
        <f t="shared" si="121"/>
        <v>0</v>
      </c>
      <c r="R78" s="142">
        <f t="shared" ref="R78:S78" si="122">SUM(R31,R35,R38,R41,R44,R47,R50,R54,R57,R62,R77)</f>
        <v>3789222.7440000004</v>
      </c>
      <c r="S78" s="142">
        <f t="shared" si="122"/>
        <v>1671</v>
      </c>
    </row>
    <row r="79" spans="1:22" x14ac:dyDescent="0.25">
      <c r="B79" s="146" t="s">
        <v>87</v>
      </c>
      <c r="C79" s="147">
        <f>SUM(C78,C20)</f>
        <v>316210.06000000006</v>
      </c>
      <c r="D79" s="147">
        <f t="shared" ref="D79:L79" si="123">SUM(D78,D20)</f>
        <v>185147.80999999997</v>
      </c>
      <c r="E79" s="147">
        <f t="shared" si="123"/>
        <v>131328.96000000002</v>
      </c>
      <c r="F79" s="147">
        <f t="shared" si="123"/>
        <v>125127.58499999999</v>
      </c>
      <c r="G79" s="148">
        <f>(G20*$S$20+G78*$S$78)/$S$79</f>
        <v>0.27493468122472242</v>
      </c>
      <c r="H79" s="147">
        <f t="shared" si="123"/>
        <v>62619.12</v>
      </c>
      <c r="I79" s="161">
        <f>(I20*$S$20+I78*$S$78)/$S$79</f>
        <v>0.15713457658454039</v>
      </c>
      <c r="J79" s="147">
        <f t="shared" si="123"/>
        <v>4123.6350000000002</v>
      </c>
      <c r="K79" s="161">
        <f>(K20*$S$20+K78*$S$78)/$S$79</f>
        <v>1.0694316766881831E-2</v>
      </c>
      <c r="L79" s="147">
        <f t="shared" si="123"/>
        <v>6740.85</v>
      </c>
      <c r="M79" s="148">
        <f t="shared" ref="M79:Q79" si="124">(M20*$S$20+M78*$S$78)/$S$79</f>
        <v>0.55723726950256647</v>
      </c>
      <c r="N79" s="148">
        <f t="shared" si="124"/>
        <v>0.4939562260780419</v>
      </c>
      <c r="O79" s="148">
        <f t="shared" si="124"/>
        <v>0.41440748270587846</v>
      </c>
      <c r="P79" s="148">
        <f t="shared" si="124"/>
        <v>0.30635605808080035</v>
      </c>
      <c r="Q79" s="148">
        <f t="shared" si="124"/>
        <v>6.3281043424524536E-2</v>
      </c>
      <c r="R79" s="147">
        <f t="shared" ref="R79:S79" si="125">SUM(R78,R20)</f>
        <v>3789222.7440000004</v>
      </c>
      <c r="S79" s="147">
        <f t="shared" si="125"/>
        <v>4463</v>
      </c>
    </row>
    <row r="80" spans="1:22" ht="27.75" customHeight="1" x14ac:dyDescent="0.25">
      <c r="C80" s="6"/>
      <c r="F80" s="74"/>
      <c r="G80" s="74"/>
      <c r="H80" s="74"/>
      <c r="I80" s="74"/>
      <c r="J80" s="74"/>
      <c r="S80" s="63"/>
      <c r="U80" s="65" t="s">
        <v>98</v>
      </c>
      <c r="V80" s="63">
        <f>SUM(S10,S13,S16,S19,S31,S35,S38,S41,S44,S47,S50,S54,S57,S62,S77)</f>
        <v>4463</v>
      </c>
    </row>
    <row r="81" spans="1:26" ht="27.75" customHeight="1" x14ac:dyDescent="0.25">
      <c r="C81" s="46"/>
      <c r="D81" s="46"/>
      <c r="E81" s="46"/>
      <c r="F81" s="46"/>
      <c r="H81" s="46"/>
      <c r="J81" s="46"/>
      <c r="K81" s="46"/>
      <c r="Q81" s="58" t="s">
        <v>81</v>
      </c>
      <c r="R81" s="70">
        <f>SUM(R10,R13,R16,R19,R31,R35,R38,R41,R44,R47,R50,R54,R57,R62,R77)</f>
        <v>11977259.684</v>
      </c>
      <c r="U81" s="65" t="s">
        <v>99</v>
      </c>
      <c r="V81" s="63">
        <f>V80-S77</f>
        <v>4123</v>
      </c>
    </row>
    <row r="82" spans="1:26" ht="15" customHeight="1" x14ac:dyDescent="0.25">
      <c r="C82" s="69"/>
      <c r="D82" s="46"/>
    </row>
    <row r="83" spans="1:26" ht="15" customHeight="1" x14ac:dyDescent="0.25">
      <c r="C83" s="46"/>
    </row>
    <row r="84" spans="1:26" ht="15" customHeight="1" x14ac:dyDescent="0.25">
      <c r="C84" s="46"/>
      <c r="F84" s="42"/>
      <c r="H84" s="42"/>
      <c r="J84" s="42"/>
      <c r="K84" s="42"/>
    </row>
    <row r="85" spans="1:26" ht="15" customHeight="1" x14ac:dyDescent="0.25">
      <c r="F85" s="42"/>
      <c r="J85" s="42"/>
    </row>
    <row r="86" spans="1:26" ht="15" customHeight="1" x14ac:dyDescent="0.25">
      <c r="C86" s="68"/>
    </row>
    <row r="87" spans="1:26" ht="15" customHeight="1" x14ac:dyDescent="0.25">
      <c r="E87" s="46"/>
      <c r="V87" s="224"/>
      <c r="W87" s="224"/>
      <c r="X87" s="224"/>
      <c r="Y87" s="224"/>
      <c r="Z87" s="224"/>
    </row>
    <row r="88" spans="1:26" ht="15" customHeight="1" x14ac:dyDescent="0.25">
      <c r="V88" s="173"/>
      <c r="W88" s="174"/>
      <c r="X88" s="174"/>
      <c r="Y88" s="173"/>
      <c r="Z88" s="175"/>
    </row>
    <row r="89" spans="1:26" ht="33" customHeight="1" x14ac:dyDescent="0.25">
      <c r="V89" s="64"/>
      <c r="W89" s="69"/>
      <c r="X89" s="69"/>
      <c r="Y89" s="176"/>
      <c r="Z89" s="65"/>
    </row>
    <row r="90" spans="1:26" ht="15" customHeight="1" x14ac:dyDescent="0.25">
      <c r="A90" s="64"/>
      <c r="B90" s="74"/>
      <c r="V90" s="64"/>
      <c r="W90" s="69"/>
      <c r="X90" s="69"/>
      <c r="Y90" s="177"/>
    </row>
    <row r="91" spans="1:26" ht="15" customHeight="1" x14ac:dyDescent="0.25">
      <c r="B91" s="69"/>
      <c r="V91" s="64"/>
      <c r="W91" s="69"/>
      <c r="X91" s="69"/>
      <c r="Y91" s="177"/>
    </row>
    <row r="92" spans="1:26" ht="25.5" customHeight="1" x14ac:dyDescent="0.25">
      <c r="B92" s="69"/>
      <c r="V92" s="64"/>
      <c r="W92" s="69"/>
      <c r="X92" s="69"/>
      <c r="Y92" s="176"/>
      <c r="Z92" s="65"/>
    </row>
    <row r="93" spans="1:26" ht="27.75" customHeight="1" x14ac:dyDescent="0.25">
      <c r="B93" s="69"/>
      <c r="V93" s="64"/>
      <c r="W93" s="69"/>
      <c r="X93" s="69"/>
      <c r="Y93" s="69"/>
      <c r="Z93" s="65"/>
    </row>
    <row r="94" spans="1:26" ht="66" customHeight="1" x14ac:dyDescent="0.25">
      <c r="B94" s="69"/>
      <c r="V94" s="64"/>
      <c r="W94" s="69"/>
      <c r="X94" s="69"/>
      <c r="Y94" s="177"/>
      <c r="Z94" s="65"/>
    </row>
    <row r="95" spans="1:26" ht="15" customHeight="1" x14ac:dyDescent="0.25">
      <c r="B95" s="69"/>
    </row>
    <row r="96" spans="1:26" ht="15" customHeight="1" x14ac:dyDescent="0.2">
      <c r="B96" s="69"/>
      <c r="V96" s="178"/>
    </row>
    <row r="98" spans="1:26" ht="15" customHeight="1" x14ac:dyDescent="0.25">
      <c r="A98" s="64"/>
      <c r="B98" s="74"/>
      <c r="V98" s="224"/>
      <c r="W98" s="224"/>
      <c r="X98" s="224"/>
      <c r="Y98" s="224"/>
      <c r="Z98" s="224"/>
    </row>
    <row r="99" spans="1:26" x14ac:dyDescent="0.25">
      <c r="B99" s="69"/>
      <c r="V99" s="179"/>
      <c r="W99" s="180"/>
      <c r="X99" s="180"/>
      <c r="Y99" s="179"/>
      <c r="Z99" s="181"/>
    </row>
    <row r="100" spans="1:26" x14ac:dyDescent="0.25">
      <c r="B100" s="69"/>
      <c r="V100" s="182"/>
      <c r="W100" s="183"/>
      <c r="X100" s="183"/>
      <c r="Y100" s="184"/>
      <c r="Z100" s="185"/>
    </row>
    <row r="101" spans="1:26" ht="15" customHeight="1" x14ac:dyDescent="0.25">
      <c r="B101" s="69"/>
      <c r="V101" s="182"/>
      <c r="W101" s="183"/>
      <c r="X101" s="183"/>
      <c r="Y101" s="186"/>
      <c r="Z101" s="187"/>
    </row>
    <row r="102" spans="1:26" ht="24" customHeight="1" x14ac:dyDescent="0.25">
      <c r="B102" s="69"/>
      <c r="V102" s="182"/>
      <c r="W102" s="183"/>
      <c r="X102" s="183"/>
      <c r="Y102" s="186"/>
      <c r="Z102" s="187"/>
    </row>
    <row r="103" spans="1:26" x14ac:dyDescent="0.25">
      <c r="B103" s="69"/>
      <c r="V103" s="182"/>
      <c r="W103" s="183"/>
      <c r="X103" s="183"/>
      <c r="Y103" s="183"/>
      <c r="Z103" s="185"/>
    </row>
    <row r="104" spans="1:26" ht="33" customHeight="1" x14ac:dyDescent="0.25">
      <c r="B104" s="69"/>
      <c r="V104" s="182"/>
      <c r="W104" s="183"/>
      <c r="X104" s="183"/>
      <c r="Y104" s="183"/>
      <c r="Z104" s="185"/>
    </row>
    <row r="105" spans="1:26" x14ac:dyDescent="0.25">
      <c r="V105" s="182"/>
      <c r="W105" s="183"/>
      <c r="X105" s="183"/>
      <c r="Y105" s="186"/>
      <c r="Z105" s="185"/>
    </row>
    <row r="106" spans="1:26" ht="15" customHeight="1" x14ac:dyDescent="0.25">
      <c r="A106" s="64"/>
      <c r="B106" s="74"/>
    </row>
    <row r="107" spans="1:26" ht="15" customHeight="1" x14ac:dyDescent="0.25">
      <c r="B107" s="69"/>
    </row>
    <row r="108" spans="1:26" ht="15" customHeight="1" x14ac:dyDescent="0.25">
      <c r="B108" s="69"/>
    </row>
    <row r="109" spans="1:26" ht="15" customHeight="1" x14ac:dyDescent="0.25">
      <c r="B109" s="69"/>
    </row>
    <row r="110" spans="1:26" ht="15" customHeight="1" x14ac:dyDescent="0.25">
      <c r="B110" s="69"/>
    </row>
    <row r="111" spans="1:26" ht="15" customHeight="1" x14ac:dyDescent="0.25">
      <c r="B111" s="69"/>
    </row>
    <row r="112" spans="1:26" ht="15" customHeight="1" x14ac:dyDescent="0.25">
      <c r="B112" s="69"/>
    </row>
  </sheetData>
  <mergeCells count="2">
    <mergeCell ref="V98:Z98"/>
    <mergeCell ref="V87:Z87"/>
  </mergeCells>
  <pageMargins left="0.7" right="0.7" top="0.75" bottom="0.75" header="0.3" footer="0.3"/>
  <ignoredErrors>
    <ignoredError sqref="B58:B59 B55:B56" numberStoredAsText="1"/>
    <ignoredError sqref="K62:Q62 J71:J76 H43:Q57 J63:J70 H58:J62 H63:I70 M35:Q41 H4:K9 H10:K19 G20:K21 G10:G19 K42:Q42 H42:J42 H22:J41 G31:G5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3FCCB-C2B8-488B-B130-A709DC27ABF8}">
  <sheetPr>
    <tabColor rgb="FF92D050"/>
  </sheetPr>
  <dimension ref="A2:AG100"/>
  <sheetViews>
    <sheetView tabSelected="1" zoomScale="82" zoomScaleNormal="100" workbookViewId="0">
      <pane ySplit="3" topLeftCell="A64" activePane="bottomLeft" state="frozen"/>
      <selection pane="bottomLeft" activeCell="V78" sqref="V78:W80"/>
    </sheetView>
  </sheetViews>
  <sheetFormatPr defaultColWidth="9.140625" defaultRowHeight="15" customHeight="1" x14ac:dyDescent="0.25"/>
  <cols>
    <col min="1" max="1" width="18.140625" style="9" customWidth="1"/>
    <col min="2" max="2" width="17.7109375" style="8" bestFit="1" customWidth="1"/>
    <col min="3" max="6" width="13" style="8" bestFit="1" customWidth="1"/>
    <col min="7" max="7" width="9.5703125" style="8" bestFit="1" customWidth="1"/>
    <col min="8" max="8" width="11.85546875" style="8" bestFit="1" customWidth="1"/>
    <col min="9" max="9" width="10.85546875" style="8" bestFit="1" customWidth="1"/>
    <col min="10" max="10" width="10.7109375" style="8" bestFit="1" customWidth="1"/>
    <col min="11" max="11" width="13" style="8" bestFit="1" customWidth="1"/>
    <col min="12" max="12" width="10.7109375" style="8" bestFit="1" customWidth="1"/>
    <col min="13" max="14" width="9.5703125" style="8" bestFit="1" customWidth="1"/>
    <col min="15" max="15" width="11.85546875" style="8" bestFit="1" customWidth="1"/>
    <col min="16" max="17" width="10.85546875" style="8" bestFit="1" customWidth="1"/>
    <col min="18" max="18" width="11.7109375" style="9" customWidth="1"/>
    <col min="19" max="19" width="16.28515625" style="9" customWidth="1"/>
    <col min="20" max="20" width="11.42578125" style="9" customWidth="1"/>
    <col min="21" max="21" width="8.140625" style="4" customWidth="1"/>
    <col min="22" max="22" width="18" style="9" bestFit="1" customWidth="1"/>
    <col min="23" max="23" width="9.140625" style="9"/>
    <col min="24" max="24" width="11.42578125" style="9" customWidth="1"/>
    <col min="25" max="25" width="14" style="9" customWidth="1"/>
    <col min="26" max="26" width="11.5703125" style="9" bestFit="1" customWidth="1"/>
    <col min="27" max="27" width="43.85546875" style="9" customWidth="1"/>
    <col min="28" max="28" width="5.85546875" style="4" bestFit="1" customWidth="1"/>
    <col min="29" max="29" width="10.5703125" style="4" customWidth="1"/>
    <col min="30" max="30" width="9.5703125" style="4" customWidth="1"/>
    <col min="31" max="31" width="9.7109375" style="4" customWidth="1"/>
    <col min="32" max="32" width="9.85546875" style="4" customWidth="1"/>
    <col min="33" max="33" width="14.140625" style="4" customWidth="1"/>
    <col min="34" max="16384" width="9.140625" style="4"/>
  </cols>
  <sheetData>
    <row r="2" spans="1:33" ht="30" x14ac:dyDescent="0.25">
      <c r="A2" s="58" t="s">
        <v>89</v>
      </c>
      <c r="B2" s="8">
        <f>SUM('KPI_FY 24-25'!B4,'KPI_FY 24-25'!X4,'KPI_FY 24-25'!AT4,'KPI_FY 24-25'!BP4,'KPI_FY 24-25'!CL4,'KPI_FY 24-25'!DH4,'KPI_FY 24-25'!ED4,'KPI_FY 24-25'!EZ4,'KPI_FY 24-25'!FV4,'KPI_FY 24-25'!GR4,'KPI_FY 24-25'!HN4,'KPI_FY 24-25'!IJ4)</f>
        <v>8760</v>
      </c>
      <c r="D2" s="15"/>
      <c r="E2" s="42"/>
      <c r="F2" s="46"/>
      <c r="L2" s="46"/>
    </row>
    <row r="3" spans="1:33" ht="36" customHeight="1" x14ac:dyDescent="0.25">
      <c r="A3" s="10" t="s">
        <v>13</v>
      </c>
      <c r="B3" s="11" t="s">
        <v>14</v>
      </c>
      <c r="C3" s="11" t="s">
        <v>15</v>
      </c>
      <c r="D3" s="11" t="s">
        <v>16</v>
      </c>
      <c r="E3" s="11" t="s">
        <v>17</v>
      </c>
      <c r="F3" s="11" t="s">
        <v>18</v>
      </c>
      <c r="G3" s="11" t="s">
        <v>19</v>
      </c>
      <c r="H3" s="11" t="s">
        <v>20</v>
      </c>
      <c r="I3" s="11" t="s">
        <v>21</v>
      </c>
      <c r="J3" s="11" t="s">
        <v>22</v>
      </c>
      <c r="K3" s="11" t="s">
        <v>23</v>
      </c>
      <c r="L3" s="11" t="s">
        <v>24</v>
      </c>
      <c r="M3" s="11" t="s">
        <v>25</v>
      </c>
      <c r="N3" s="11" t="s">
        <v>26</v>
      </c>
      <c r="O3" s="11" t="s">
        <v>90</v>
      </c>
      <c r="P3" s="11" t="s">
        <v>27</v>
      </c>
      <c r="Q3" s="61" t="s">
        <v>28</v>
      </c>
      <c r="R3" s="59" t="s">
        <v>82</v>
      </c>
      <c r="S3" s="67" t="s">
        <v>30</v>
      </c>
      <c r="T3" s="14" t="s">
        <v>31</v>
      </c>
      <c r="U3" s="2" t="s">
        <v>91</v>
      </c>
      <c r="X3" s="66"/>
      <c r="Y3" s="66"/>
      <c r="Z3" s="74"/>
      <c r="AA3" s="64"/>
      <c r="AE3" s="2"/>
      <c r="AF3" s="2"/>
      <c r="AG3" s="60"/>
    </row>
    <row r="4" spans="1:33" x14ac:dyDescent="0.25">
      <c r="A4" s="16" t="s">
        <v>33</v>
      </c>
      <c r="B4" s="17" t="s">
        <v>34</v>
      </c>
      <c r="C4" s="6">
        <f>'OMC Hrs'!C3</f>
        <v>8346.9</v>
      </c>
      <c r="D4" s="46">
        <v>8343.2999999999993</v>
      </c>
      <c r="E4" s="6">
        <f>SUM('KPI_FY 24-25'!E6,'KPI_FY 24-25'!AA6,'KPI_FY 24-25'!AW6,'KPI_FY 24-25'!BS6,'KPI_FY 24-25'!CO6,'KPI_FY 24-25'!DK6,'KPI_FY 24-25'!EG6,'KPI_FY 24-25'!FC6,'KPI_FY 24-25'!FY6,'KPI_FY 24-25'!GU6,'KPI_FY 24-25'!HQ6,'KPI_FY 24-25'!IM6)</f>
        <v>3.6</v>
      </c>
      <c r="F4" s="46">
        <f>'OMC Hrs'!H3</f>
        <v>177.8</v>
      </c>
      <c r="G4" s="69">
        <f>(F4/$B$2)</f>
        <v>2.0296803652968039E-2</v>
      </c>
      <c r="H4" s="8">
        <f>'OMC Hrs'!J3</f>
        <v>0</v>
      </c>
      <c r="I4" s="69">
        <f>(H4/$B$2)</f>
        <v>0</v>
      </c>
      <c r="J4" s="15">
        <f>SUM('KPI_FY 24-25'!J6,'KPI_FY 24-25'!AF6,'KPI_FY 24-25'!BB6,'KPI_FY 24-25'!BX6,'KPI_FY 24-25'!CT6,'KPI_FY 24-25'!DP6,'KPI_FY 24-25'!EL6,'KPI_FY 24-25'!FH6,'KPI_FY 24-25'!GD6,'KPI_FY 24-25'!GZ6,'KPI_FY 24-25'!HV6,'KPI_FY 24-25'!IR6)</f>
        <v>235.29999999999998</v>
      </c>
      <c r="K4" s="69">
        <f>(J4/$B$2)</f>
        <v>2.6860730593607305E-2</v>
      </c>
      <c r="L4" s="6">
        <v>168.44487682672235</v>
      </c>
      <c r="M4" s="69">
        <f>(C4/$B$2)</f>
        <v>0.95284246575342457</v>
      </c>
      <c r="N4" s="69">
        <f t="shared" ref="N4:N9" si="0">((C4-L4)/$B$2)</f>
        <v>0.93361359853576231</v>
      </c>
      <c r="O4" s="15">
        <v>153</v>
      </c>
      <c r="P4" s="149">
        <f t="shared" ref="P4:P9" si="1">IF((AND(D4=0,F4=0)),0,(F4+L4)/(D4+F4+L4))</f>
        <v>3.9846146344222032E-2</v>
      </c>
      <c r="Q4" s="69">
        <f t="shared" ref="Q4:Q9" si="2">(S4/($B$2*O4))</f>
        <v>0.82153952905363059</v>
      </c>
      <c r="R4" s="69">
        <f>(L4/$B$2)</f>
        <v>1.9228867217662367E-2</v>
      </c>
      <c r="S4" s="131">
        <f>SUM('KPI_FY 24-25'!T6,'KPI_FY 24-25'!AP6,'KPI_FY 24-25'!BL6,'KPI_FY 24-25'!CH6,'KPI_FY 24-25'!DD6,'KPI_FY 24-25'!DZ6,'KPI_FY 24-25'!EV6,'KPI_FY 24-25'!FR6,'KPI_FY 24-25'!GN6,'KPI_FY 24-25'!HJ6,'KPI_FY 24-25'!IF6,'KPI_FY 24-25'!JB6)</f>
        <v>1101093</v>
      </c>
      <c r="T4" s="20">
        <v>160</v>
      </c>
      <c r="U4" s="150">
        <f t="shared" ref="U4:U9" si="3">SUM(G4,I4,K4,R4,N4)</f>
        <v>1</v>
      </c>
      <c r="W4" s="64"/>
      <c r="X4" s="6"/>
      <c r="Y4" s="68"/>
      <c r="Z4" s="6"/>
      <c r="AA4" s="65"/>
      <c r="AD4" s="5"/>
      <c r="AE4" s="3"/>
      <c r="AF4" s="3"/>
    </row>
    <row r="5" spans="1:33" x14ac:dyDescent="0.25">
      <c r="A5" s="16" t="s">
        <v>35</v>
      </c>
      <c r="B5" s="17" t="s">
        <v>36</v>
      </c>
      <c r="C5" s="6">
        <f>'OMC Hrs'!C4</f>
        <v>7736</v>
      </c>
      <c r="D5" s="46">
        <v>7727.6</v>
      </c>
      <c r="E5" s="6">
        <f>SUM('KPI_FY 24-25'!E7,'KPI_FY 24-25'!AA7,'KPI_FY 24-25'!AW7,'KPI_FY 24-25'!BS7,'KPI_FY 24-25'!CO7,'KPI_FY 24-25'!DK7,'KPI_FY 24-25'!EG7,'KPI_FY 24-25'!FC7,'KPI_FY 24-25'!FY7,'KPI_FY 24-25'!GU7,'KPI_FY 24-25'!HQ7,'KPI_FY 24-25'!IM7)</f>
        <v>8.4</v>
      </c>
      <c r="F5" s="46">
        <f>'OMC Hrs'!H4</f>
        <v>508.19999999999959</v>
      </c>
      <c r="G5" s="69">
        <f t="shared" ref="G5:G9" si="4">(F5/$B$2)</f>
        <v>5.8013698630136938E-2</v>
      </c>
      <c r="H5" s="8">
        <f>'OMC Hrs'!J4</f>
        <v>328.2</v>
      </c>
      <c r="I5" s="69">
        <f t="shared" ref="I5:I9" si="5">(H5/$B$2)</f>
        <v>3.7465753424657536E-2</v>
      </c>
      <c r="J5" s="15">
        <f>SUM('KPI_FY 24-25'!J7,'KPI_FY 24-25'!AF7,'KPI_FY 24-25'!BB7,'KPI_FY 24-25'!BX7,'KPI_FY 24-25'!CT7,'KPI_FY 24-25'!DP7,'KPI_FY 24-25'!EL7,'KPI_FY 24-25'!FH7,'KPI_FY 24-25'!GD7,'KPI_FY 24-25'!GZ7,'KPI_FY 24-25'!HV7,'KPI_FY 24-25'!IR7)</f>
        <v>187.6</v>
      </c>
      <c r="K5" s="69">
        <f t="shared" ref="K5:K9" si="6">(J5/$B$2)</f>
        <v>2.1415525114155249E-2</v>
      </c>
      <c r="L5" s="6">
        <v>221.14874739039666</v>
      </c>
      <c r="M5" s="69">
        <f t="shared" ref="M5:M9" si="7">(C5/$B$2)</f>
        <v>0.88310502283105019</v>
      </c>
      <c r="N5" s="69">
        <f t="shared" si="0"/>
        <v>0.85785973203305976</v>
      </c>
      <c r="O5" s="15">
        <v>52</v>
      </c>
      <c r="P5" s="149">
        <f t="shared" si="1"/>
        <v>8.6242540800008413E-2</v>
      </c>
      <c r="Q5" s="69">
        <f t="shared" si="2"/>
        <v>0.61703328064629437</v>
      </c>
      <c r="R5" s="69">
        <f t="shared" ref="R5:R9" si="8">(L5/$B$2)</f>
        <v>2.5245290797990486E-2</v>
      </c>
      <c r="S5" s="131">
        <f>SUM('KPI_FY 24-25'!T7,'KPI_FY 24-25'!AP7,'KPI_FY 24-25'!BL7,'KPI_FY 24-25'!CH7,'KPI_FY 24-25'!DD7,'KPI_FY 24-25'!DZ7,'KPI_FY 24-25'!EV7,'KPI_FY 24-25'!FR7,'KPI_FY 24-25'!GN7,'KPI_FY 24-25'!HJ7,'KPI_FY 24-25'!IF7,'KPI_FY 24-25'!JB7)</f>
        <v>281071</v>
      </c>
      <c r="T5" s="20">
        <v>60</v>
      </c>
      <c r="U5" s="150">
        <f t="shared" si="3"/>
        <v>1</v>
      </c>
      <c r="W5" s="64"/>
      <c r="X5" s="6"/>
      <c r="Y5" s="6"/>
      <c r="Z5" s="6"/>
      <c r="AD5" s="5"/>
      <c r="AE5" s="3"/>
      <c r="AF5" s="3"/>
    </row>
    <row r="6" spans="1:33" x14ac:dyDescent="0.25">
      <c r="A6" s="17"/>
      <c r="B6" s="17" t="s">
        <v>37</v>
      </c>
      <c r="C6" s="6">
        <f>'OMC Hrs'!C5</f>
        <v>2820.5</v>
      </c>
      <c r="D6" s="46">
        <v>2589.1999999999998</v>
      </c>
      <c r="E6" s="6">
        <f>SUM('KPI_FY 24-25'!E8,'KPI_FY 24-25'!AA8,'KPI_FY 24-25'!AW8,'KPI_FY 24-25'!BS8,'KPI_FY 24-25'!CO8,'KPI_FY 24-25'!DK8,'KPI_FY 24-25'!EG8,'KPI_FY 24-25'!FC8,'KPI_FY 24-25'!FY8,'KPI_FY 24-25'!GU8,'KPI_FY 24-25'!HQ8,'KPI_FY 24-25'!IM8)</f>
        <v>231.3</v>
      </c>
      <c r="F6" s="46">
        <f>'OMC Hrs'!H5</f>
        <v>1348.3000000000002</v>
      </c>
      <c r="G6" s="69">
        <f t="shared" si="4"/>
        <v>0.15391552511415527</v>
      </c>
      <c r="H6" s="8">
        <f>'OMC Hrs'!J5</f>
        <v>4535.8</v>
      </c>
      <c r="I6" s="69">
        <f t="shared" si="5"/>
        <v>0.51778538812785391</v>
      </c>
      <c r="J6" s="15">
        <f>SUM('KPI_FY 24-25'!J8,'KPI_FY 24-25'!AF8,'KPI_FY 24-25'!BB8,'KPI_FY 24-25'!BX8,'KPI_FY 24-25'!CT8,'KPI_FY 24-25'!DP8,'KPI_FY 24-25'!EL8,'KPI_FY 24-25'!FH8,'KPI_FY 24-25'!GD8,'KPI_FY 24-25'!GZ8,'KPI_FY 24-25'!HV8,'KPI_FY 24-25'!IR8)</f>
        <v>55.400000000000006</v>
      </c>
      <c r="K6" s="69">
        <f t="shared" si="6"/>
        <v>6.3242009132420101E-3</v>
      </c>
      <c r="L6" s="6">
        <v>0</v>
      </c>
      <c r="M6" s="69">
        <f t="shared" si="7"/>
        <v>0.32197488584474887</v>
      </c>
      <c r="N6" s="69">
        <f t="shared" si="0"/>
        <v>0.32197488584474887</v>
      </c>
      <c r="O6" s="15">
        <v>154</v>
      </c>
      <c r="P6" s="149">
        <f t="shared" si="1"/>
        <v>0.34242539682539685</v>
      </c>
      <c r="Q6" s="69">
        <f t="shared" si="2"/>
        <v>0.18476323904406097</v>
      </c>
      <c r="R6" s="69">
        <f t="shared" si="8"/>
        <v>0</v>
      </c>
      <c r="S6" s="131">
        <f>SUM('KPI_FY 24-25'!T8,'KPI_FY 24-25'!AP8,'KPI_FY 24-25'!BL8,'KPI_FY 24-25'!CH8,'KPI_FY 24-25'!DD8,'KPI_FY 24-25'!DZ8,'KPI_FY 24-25'!EV8,'KPI_FY 24-25'!FR8,'KPI_FY 24-25'!GN8,'KPI_FY 24-25'!HJ8,'KPI_FY 24-25'!IF8,'KPI_FY 24-25'!JB8)</f>
        <v>249253</v>
      </c>
      <c r="T6" s="20">
        <v>160</v>
      </c>
      <c r="U6" s="150">
        <f t="shared" si="3"/>
        <v>1</v>
      </c>
      <c r="W6" s="64"/>
      <c r="X6" s="6"/>
      <c r="Y6" s="6"/>
      <c r="Z6" s="6"/>
      <c r="AA6" s="65"/>
      <c r="AB6" s="57"/>
      <c r="AD6" s="5"/>
      <c r="AE6" s="3"/>
      <c r="AF6" s="3"/>
    </row>
    <row r="7" spans="1:33" x14ac:dyDescent="0.25">
      <c r="A7" s="8"/>
      <c r="B7" s="17" t="s">
        <v>38</v>
      </c>
      <c r="C7" s="6">
        <f>'OMC Hrs'!C6</f>
        <v>8760</v>
      </c>
      <c r="D7" s="46">
        <v>8760</v>
      </c>
      <c r="E7" s="6">
        <f>SUM('KPI_FY 24-25'!E9,'KPI_FY 24-25'!AA9,'KPI_FY 24-25'!AW9,'KPI_FY 24-25'!BS9,'KPI_FY 24-25'!CO9,'KPI_FY 24-25'!DK9,'KPI_FY 24-25'!EG9,'KPI_FY 24-25'!FC9,'KPI_FY 24-25'!FY9,'KPI_FY 24-25'!GU9,'KPI_FY 24-25'!HQ9,'KPI_FY 24-25'!IM9)</f>
        <v>0</v>
      </c>
      <c r="F7" s="6">
        <f>'OMC Hrs'!H6</f>
        <v>0</v>
      </c>
      <c r="G7" s="69">
        <f t="shared" si="4"/>
        <v>0</v>
      </c>
      <c r="H7" s="8">
        <f>'OMC Hrs'!J6</f>
        <v>0</v>
      </c>
      <c r="I7" s="69">
        <f t="shared" si="5"/>
        <v>0</v>
      </c>
      <c r="J7" s="15">
        <f>SUM('KPI_FY 24-25'!J9,'KPI_FY 24-25'!AF9,'KPI_FY 24-25'!BB9,'KPI_FY 24-25'!BX9,'KPI_FY 24-25'!CT9,'KPI_FY 24-25'!DP9,'KPI_FY 24-25'!EL9,'KPI_FY 24-25'!FH9,'KPI_FY 24-25'!GD9,'KPI_FY 24-25'!GZ9,'KPI_FY 24-25'!HV9,'KPI_FY 24-25'!IR9)</f>
        <v>0</v>
      </c>
      <c r="K7" s="69">
        <f t="shared" si="6"/>
        <v>0</v>
      </c>
      <c r="L7" s="6">
        <v>0</v>
      </c>
      <c r="M7" s="69">
        <f t="shared" si="7"/>
        <v>1</v>
      </c>
      <c r="N7" s="69">
        <f t="shared" si="0"/>
        <v>1</v>
      </c>
      <c r="O7" s="15">
        <v>52</v>
      </c>
      <c r="P7" s="149">
        <f t="shared" si="1"/>
        <v>0</v>
      </c>
      <c r="Q7" s="69">
        <f t="shared" si="2"/>
        <v>0</v>
      </c>
      <c r="R7" s="69">
        <f t="shared" si="8"/>
        <v>0</v>
      </c>
      <c r="S7" s="134">
        <f>SUM('KPI_FY 24-25'!T9,'KPI_FY 24-25'!AP9,'KPI_FY 24-25'!BL9,'KPI_FY 24-25'!CH9,'KPI_FY 24-25'!DD9,'KPI_FY 24-25'!DZ9,'KPI_FY 24-25'!EV9,'KPI_FY 24-25'!FR9,'KPI_FY 24-25'!GN9,'KPI_FY 24-25'!HJ9,'KPI_FY 24-25'!IF9,'KPI_FY 24-25'!JB9)</f>
        <v>0</v>
      </c>
      <c r="T7" s="20">
        <v>60</v>
      </c>
      <c r="U7" s="150">
        <f t="shared" si="3"/>
        <v>1</v>
      </c>
      <c r="W7" s="64"/>
      <c r="X7" s="6"/>
      <c r="Y7" s="6"/>
      <c r="Z7" s="6"/>
      <c r="AD7" s="5"/>
      <c r="AE7" s="3"/>
      <c r="AF7" s="3"/>
    </row>
    <row r="8" spans="1:33" x14ac:dyDescent="0.25">
      <c r="A8" s="8"/>
      <c r="B8" s="17">
        <v>7</v>
      </c>
      <c r="C8" s="6">
        <f>'OMC Hrs'!C7</f>
        <v>1878.7000000000007</v>
      </c>
      <c r="D8" s="46">
        <v>1878.7000000000007</v>
      </c>
      <c r="E8" s="6">
        <f>SUM('KPI_FY 24-25'!E10,'KPI_FY 24-25'!AA10,'KPI_FY 24-25'!AW10,'KPI_FY 24-25'!BS10,'KPI_FY 24-25'!CO10,'KPI_FY 24-25'!DK10,'KPI_FY 24-25'!EG10,'KPI_FY 24-25'!FC10,'KPI_FY 24-25'!FY10,'KPI_FY 24-25'!GU10,'KPI_FY 24-25'!HQ10,'KPI_FY 24-25'!IM10)</f>
        <v>0</v>
      </c>
      <c r="F8" s="46">
        <f>'OMC Hrs'!H7</f>
        <v>1433.2999999999997</v>
      </c>
      <c r="G8" s="69">
        <f t="shared" si="4"/>
        <v>0.16361872146118719</v>
      </c>
      <c r="H8" s="8">
        <f>'OMC Hrs'!J7</f>
        <v>5088</v>
      </c>
      <c r="I8" s="69">
        <f t="shared" si="5"/>
        <v>0.58082191780821912</v>
      </c>
      <c r="J8" s="15">
        <f>SUM('KPI_FY 24-25'!J10,'KPI_FY 24-25'!AF10,'KPI_FY 24-25'!BB10,'KPI_FY 24-25'!BX10,'KPI_FY 24-25'!CT10,'KPI_FY 24-25'!DP10,'KPI_FY 24-25'!EL10,'KPI_FY 24-25'!FH10,'KPI_FY 24-25'!GD10,'KPI_FY 24-25'!GZ10,'KPI_FY 24-25'!HV10,'KPI_FY 24-25'!IR10)</f>
        <v>360</v>
      </c>
      <c r="K8" s="69">
        <f t="shared" si="6"/>
        <v>4.1095890410958902E-2</v>
      </c>
      <c r="L8" s="6">
        <v>67.077244258872653</v>
      </c>
      <c r="M8" s="69">
        <f t="shared" si="7"/>
        <v>0.21446347031963478</v>
      </c>
      <c r="N8" s="69">
        <f t="shared" si="0"/>
        <v>0.20680625065537991</v>
      </c>
      <c r="O8" s="15">
        <v>100</v>
      </c>
      <c r="P8" s="149">
        <f t="shared" si="1"/>
        <v>0.44401981245265892</v>
      </c>
      <c r="Q8" s="69">
        <f t="shared" si="2"/>
        <v>0.15964954337899542</v>
      </c>
      <c r="R8" s="69">
        <f t="shared" si="8"/>
        <v>7.6572196642548688E-3</v>
      </c>
      <c r="S8" s="131">
        <f>SUM('KPI_FY 24-25'!T10,'KPI_FY 24-25'!AP10,'KPI_FY 24-25'!BL10,'KPI_FY 24-25'!CH10,'KPI_FY 24-25'!DD10,'KPI_FY 24-25'!DZ10,'KPI_FY 24-25'!EV10,'KPI_FY 24-25'!FR10,'KPI_FY 24-25'!GN10,'KPI_FY 24-25'!HJ10,'KPI_FY 24-25'!IF10,'KPI_FY 24-25'!JB10)</f>
        <v>139853</v>
      </c>
      <c r="T8" s="20">
        <v>100</v>
      </c>
      <c r="U8" s="150">
        <f t="shared" si="3"/>
        <v>1</v>
      </c>
      <c r="W8" s="64"/>
      <c r="X8" s="6"/>
      <c r="Y8" s="6"/>
      <c r="Z8" s="6"/>
      <c r="AA8" s="65"/>
      <c r="AB8" s="57"/>
      <c r="AD8" s="5"/>
      <c r="AE8" s="3"/>
      <c r="AF8" s="3"/>
    </row>
    <row r="9" spans="1:33" x14ac:dyDescent="0.25">
      <c r="A9" s="17"/>
      <c r="B9" s="17">
        <v>9</v>
      </c>
      <c r="C9" s="6">
        <f>'OMC Hrs'!C8</f>
        <v>6904.2</v>
      </c>
      <c r="D9" s="46">
        <v>6856.5</v>
      </c>
      <c r="E9" s="6">
        <f>SUM('KPI_FY 24-25'!E11,'KPI_FY 24-25'!AA11,'KPI_FY 24-25'!AW11,'KPI_FY 24-25'!BS11,'KPI_FY 24-25'!CO11,'KPI_FY 24-25'!DK11,'KPI_FY 24-25'!EG11,'KPI_FY 24-25'!FC11,'KPI_FY 24-25'!FY11,'KPI_FY 24-25'!GU11,'KPI_FY 24-25'!HQ11,'KPI_FY 24-25'!IM11)</f>
        <v>47.7</v>
      </c>
      <c r="F9" s="46">
        <f>'OMC Hrs'!H8</f>
        <v>381.49999999999989</v>
      </c>
      <c r="G9" s="69">
        <f t="shared" si="4"/>
        <v>4.3550228310502273E-2</v>
      </c>
      <c r="H9" s="8">
        <f>'OMC Hrs'!J8</f>
        <v>71.599999999999994</v>
      </c>
      <c r="I9" s="69">
        <f t="shared" si="5"/>
        <v>8.1735159817351594E-3</v>
      </c>
      <c r="J9" s="15">
        <f>SUM('KPI_FY 24-25'!J11,'KPI_FY 24-25'!AF11,'KPI_FY 24-25'!BB11,'KPI_FY 24-25'!BX11,'KPI_FY 24-25'!CT11,'KPI_FY 24-25'!DP11,'KPI_FY 24-25'!EL11,'KPI_FY 24-25'!FH11,'KPI_FY 24-25'!GD11,'KPI_FY 24-25'!GZ11,'KPI_FY 24-25'!HV11,'KPI_FY 24-25'!IR11)</f>
        <v>1402.7</v>
      </c>
      <c r="K9" s="69">
        <f t="shared" si="6"/>
        <v>0.16012557077625572</v>
      </c>
      <c r="L9" s="6">
        <v>167.69311064718164</v>
      </c>
      <c r="M9" s="69">
        <f t="shared" si="7"/>
        <v>0.78815068493150686</v>
      </c>
      <c r="N9" s="69">
        <f t="shared" si="0"/>
        <v>0.76900763577086961</v>
      </c>
      <c r="O9" s="15">
        <v>100</v>
      </c>
      <c r="P9" s="149">
        <f t="shared" si="1"/>
        <v>7.4158232381734177E-2</v>
      </c>
      <c r="Q9" s="69">
        <f t="shared" si="2"/>
        <v>0.57334589041095896</v>
      </c>
      <c r="R9" s="69">
        <f t="shared" si="8"/>
        <v>1.9143049160637172E-2</v>
      </c>
      <c r="S9" s="131">
        <f>SUM('KPI_FY 24-25'!T11,'KPI_FY 24-25'!AP11,'KPI_FY 24-25'!BL11,'KPI_FY 24-25'!CH11,'KPI_FY 24-25'!DD11,'KPI_FY 24-25'!DZ11,'KPI_FY 24-25'!EV11,'KPI_FY 24-25'!FR11,'KPI_FY 24-25'!GN11,'KPI_FY 24-25'!HJ11,'KPI_FY 24-25'!IF11,'KPI_FY 24-25'!JB11)</f>
        <v>502251</v>
      </c>
      <c r="T9" s="20">
        <v>100</v>
      </c>
      <c r="U9" s="150">
        <f t="shared" si="3"/>
        <v>0.99999999999999989</v>
      </c>
      <c r="W9" s="64"/>
      <c r="X9" s="6"/>
      <c r="Y9" s="6"/>
      <c r="Z9" s="52"/>
      <c r="AA9" s="65"/>
      <c r="AB9" s="57"/>
      <c r="AD9" s="5"/>
      <c r="AE9" s="3"/>
      <c r="AF9" s="3"/>
    </row>
    <row r="10" spans="1:33" x14ac:dyDescent="0.25">
      <c r="A10" s="17"/>
      <c r="B10" s="90" t="s">
        <v>39</v>
      </c>
      <c r="C10" s="47">
        <f>SUM(C4:C9)</f>
        <v>36446.300000000003</v>
      </c>
      <c r="D10" s="47">
        <f>SUM(D4:D9)</f>
        <v>36155.300000000003</v>
      </c>
      <c r="E10" s="29">
        <f t="shared" ref="E10:F10" si="9">SUM(E4:E9)</f>
        <v>291</v>
      </c>
      <c r="F10" s="47">
        <f t="shared" si="9"/>
        <v>3849.0999999999995</v>
      </c>
      <c r="G10" s="79">
        <f>(G4*O4+G5*O5+G6*O6+G7*O7+G8*O8+G9*O9)/O10</f>
        <v>8.2720145879574616E-2</v>
      </c>
      <c r="H10" s="29">
        <f t="shared" ref="H10:L10" si="10">SUM(H4:H9)</f>
        <v>10023.6</v>
      </c>
      <c r="I10" s="79">
        <f>(I4*$O$4+I5*$O$5+I6*$O$6+I7*$O$7+I8*$O$8+I9*$O$9)/$O$10</f>
        <v>0.23009281886868599</v>
      </c>
      <c r="J10" s="29">
        <f t="shared" ref="J10" si="11">SUM(J4:J9)</f>
        <v>2241</v>
      </c>
      <c r="K10" s="79">
        <f>(K4*$O$4+K5*$O$5+K6*$O$6+K7*$O$7+K8*$O$8+K9*$O$9)/$O$10</f>
        <v>4.3075895492829336E-2</v>
      </c>
      <c r="L10" s="30">
        <f t="shared" si="10"/>
        <v>624.36397912317329</v>
      </c>
      <c r="M10" s="79">
        <f>(M4*$O$4+M5*$O$5+M6*$O$6+M7*$O$7+M8*$O$8+M9*$O$9)/$O$10</f>
        <v>0.6441111397589101</v>
      </c>
      <c r="N10" s="79">
        <f>(N4*$O$4+N5*$O$5+N6*$O$6+N7*$O$7+N8*$O$8+N9*$O$9)/$O$10</f>
        <v>0.63276122373880028</v>
      </c>
      <c r="O10" s="31">
        <f>SUM(O4:O9)</f>
        <v>611</v>
      </c>
      <c r="P10" s="79">
        <f>(P4*$O$4+P5*$O$5+P6*$O$6+P7*$O$7+P8*$O$8+P9*$O$9)/$O$10</f>
        <v>0.18843271375911103</v>
      </c>
      <c r="Q10" s="79">
        <f t="shared" ref="Q10:R10" si="12">(Q4*$O$4+Q5*$O$5+Q6*$O$6+Q7*$O$7+Q8*$O$8+Q9*$O$9)/$O$10</f>
        <v>0.42476982116300099</v>
      </c>
      <c r="R10" s="79">
        <f t="shared" si="12"/>
        <v>1.134991602010974E-2</v>
      </c>
      <c r="S10" s="188">
        <f>SUM(S4:S9)</f>
        <v>2273521</v>
      </c>
      <c r="T10" s="189">
        <f>SUM(T4:T9)</f>
        <v>640</v>
      </c>
      <c r="U10" s="150"/>
      <c r="W10" s="64"/>
      <c r="X10" s="8"/>
      <c r="Y10" s="6"/>
      <c r="Z10" s="52"/>
    </row>
    <row r="11" spans="1:33" x14ac:dyDescent="0.25">
      <c r="A11" s="16" t="s">
        <v>40</v>
      </c>
      <c r="B11" s="17">
        <v>3</v>
      </c>
      <c r="C11" s="6">
        <f>'OMC Hrs'!C10</f>
        <v>7606.83</v>
      </c>
      <c r="D11" s="46">
        <v>7606.83</v>
      </c>
      <c r="E11" s="6">
        <f>SUM('KPI_FY 24-25'!E13,'KPI_FY 24-25'!AA13,'KPI_FY 24-25'!AW13,'KPI_FY 24-25'!BS13,'KPI_FY 24-25'!CO13,'KPI_FY 24-25'!DK13,'KPI_FY 24-25'!EG13,'KPI_FY 24-25'!FC13,'KPI_FY 24-25'!FY13,'KPI_FY 24-25'!GU13,'KPI_FY 24-25'!HQ13,'KPI_FY 24-25'!IM13)</f>
        <v>0</v>
      </c>
      <c r="F11" s="46">
        <f>'OMC Hrs'!H10</f>
        <v>510.67000000000007</v>
      </c>
      <c r="G11" s="69">
        <f>(F11/$B$2)</f>
        <v>5.8295662100456627E-2</v>
      </c>
      <c r="H11" s="15">
        <f>'OMC Hrs'!J10</f>
        <v>0</v>
      </c>
      <c r="I11" s="69">
        <f>(H11/$B$2)</f>
        <v>0</v>
      </c>
      <c r="J11" s="6">
        <f>SUM('KPI_FY 24-25'!J13,'KPI_FY 24-25'!AF13,'KPI_FY 24-25'!BB13,'KPI_FY 24-25'!BX13,'KPI_FY 24-25'!CT13,'KPI_FY 24-25'!DP13,'KPI_FY 24-25'!EL13,'KPI_FY 24-25'!FH13,'KPI_FY 24-25'!GD13,'KPI_FY 24-25'!GZ13,'KPI_FY 24-25'!HV13,'KPI_FY 24-25'!IR13)</f>
        <v>642.5</v>
      </c>
      <c r="K11" s="69">
        <f>(J11/$B$2)</f>
        <v>7.3344748858447495E-2</v>
      </c>
      <c r="L11" s="6">
        <v>685.63154906054285</v>
      </c>
      <c r="M11" s="69">
        <f>(C11/$B$2)</f>
        <v>0.86835958904109589</v>
      </c>
      <c r="N11" s="69">
        <f>((C11-L11)/$B$2)</f>
        <v>0.79009114736751795</v>
      </c>
      <c r="O11" s="15">
        <v>178</v>
      </c>
      <c r="P11" s="149">
        <f>IF((AND(D11=0,F11=0)),0,(F11+L11)/(D11+F11+L11))</f>
        <v>0.13589499854608109</v>
      </c>
      <c r="Q11" s="69">
        <f>(S11/($B$2*O11))</f>
        <v>0.69856981427325426</v>
      </c>
      <c r="R11" s="69">
        <f>(L11/$B$2)</f>
        <v>7.8268441673577951E-2</v>
      </c>
      <c r="S11" s="137">
        <f>SUM('KPI_FY 24-25'!T13,'KPI_FY 24-25'!AP13,'KPI_FY 24-25'!BL13,'KPI_FY 24-25'!CH13,'KPI_FY 24-25'!DD13,'KPI_FY 24-25'!DZ13,'KPI_FY 24-25'!EV13,'KPI_FY 24-25'!FR13,'KPI_FY 24-25'!GN13,'KPI_FY 24-25'!HJ13,'KPI_FY 24-25'!IF13,'KPI_FY 24-25'!JB13)</f>
        <v>1089265.94</v>
      </c>
      <c r="T11" s="20">
        <v>216</v>
      </c>
      <c r="U11" s="150">
        <f>SUM(G11,I11,K11,R11,N11)</f>
        <v>1</v>
      </c>
      <c r="AE11" s="2"/>
      <c r="AF11" s="2"/>
      <c r="AG11" s="60"/>
    </row>
    <row r="12" spans="1:33" x14ac:dyDescent="0.25">
      <c r="A12" s="16" t="s">
        <v>41</v>
      </c>
      <c r="B12" s="17">
        <v>4</v>
      </c>
      <c r="C12" s="6">
        <f>'OMC Hrs'!C11</f>
        <v>0</v>
      </c>
      <c r="D12" s="6">
        <v>0</v>
      </c>
      <c r="E12" s="6">
        <f>SUM('KPI_FY 24-25'!E14,'KPI_FY 24-25'!AA14,'KPI_FY 24-25'!AW14,'KPI_FY 24-25'!BS14,'KPI_FY 24-25'!CO14,'KPI_FY 24-25'!DK14,'KPI_FY 24-25'!EG14,'KPI_FY 24-25'!FC14,'KPI_FY 24-25'!FY14,'KPI_FY 24-25'!GU14,'KPI_FY 24-25'!HQ14,'KPI_FY 24-25'!IM14)</f>
        <v>0</v>
      </c>
      <c r="F12" s="46">
        <f>'OMC Hrs'!H11</f>
        <v>8760</v>
      </c>
      <c r="G12" s="69">
        <f>(F12/$B$2)</f>
        <v>1</v>
      </c>
      <c r="H12" s="15">
        <f>'OMC Hrs'!J11</f>
        <v>0</v>
      </c>
      <c r="I12" s="69">
        <f>(H12/$B$2)</f>
        <v>0</v>
      </c>
      <c r="J12" s="6">
        <f>SUM('KPI_FY 24-25'!J14,'KPI_FY 24-25'!AF14,'KPI_FY 24-25'!BB14,'KPI_FY 24-25'!BX14,'KPI_FY 24-25'!CT14,'KPI_FY 24-25'!DP14,'KPI_FY 24-25'!EL14,'KPI_FY 24-25'!FH14,'KPI_FY 24-25'!GD14,'KPI_FY 24-25'!GZ14,'KPI_FY 24-25'!HV14,'KPI_FY 24-25'!IR14)</f>
        <v>0</v>
      </c>
      <c r="K12" s="69">
        <f>(J12/$B$2)</f>
        <v>0</v>
      </c>
      <c r="L12" s="6">
        <v>0</v>
      </c>
      <c r="M12" s="69">
        <f>(C12/$B$2)</f>
        <v>0</v>
      </c>
      <c r="N12" s="69">
        <f>((C12-L12)/$B$2)</f>
        <v>0</v>
      </c>
      <c r="O12" s="15">
        <v>216</v>
      </c>
      <c r="P12" s="149">
        <f>IF((AND(D12=0,F12=0)),0,(F12+L12)/(D12+F12+L12))</f>
        <v>1</v>
      </c>
      <c r="Q12" s="69">
        <f>(S12/($B$2*O12))</f>
        <v>0</v>
      </c>
      <c r="R12" s="69">
        <f>(L12/$B$2)</f>
        <v>0</v>
      </c>
      <c r="S12" s="134">
        <f>SUM('KPI_FY 24-25'!T14,'KPI_FY 24-25'!AP14,'KPI_FY 24-25'!BL14,'KPI_FY 24-25'!CH14,'KPI_FY 24-25'!DD14,'KPI_FY 24-25'!DZ14,'KPI_FY 24-25'!EV14,'KPI_FY 24-25'!FR14,'KPI_FY 24-25'!GN14,'KPI_FY 24-25'!HJ14,'KPI_FY 24-25'!IF14,'KPI_FY 24-25'!JB14)</f>
        <v>0</v>
      </c>
      <c r="T12" s="20">
        <v>216</v>
      </c>
      <c r="U12" s="150">
        <f>SUM(G12,I12,K12,R12,N12)</f>
        <v>1</v>
      </c>
      <c r="X12" s="66"/>
      <c r="Y12" s="66"/>
      <c r="Z12" s="74"/>
      <c r="AD12" s="9"/>
      <c r="AE12" s="66"/>
      <c r="AF12" s="66"/>
    </row>
    <row r="13" spans="1:33" x14ac:dyDescent="0.25">
      <c r="A13" s="16"/>
      <c r="B13" s="90" t="s">
        <v>39</v>
      </c>
      <c r="C13" s="47">
        <f>SUM(C11:C12)</f>
        <v>7606.83</v>
      </c>
      <c r="D13" s="47">
        <f>SUM(D11:D12)</f>
        <v>7606.83</v>
      </c>
      <c r="E13" s="29">
        <f t="shared" ref="E13:L13" si="13">SUM(E11:E12)</f>
        <v>0</v>
      </c>
      <c r="F13" s="47">
        <f t="shared" si="13"/>
        <v>9270.67</v>
      </c>
      <c r="G13" s="79">
        <f>(G11*O11+G12*O12)/O13</f>
        <v>0.57455996917228747</v>
      </c>
      <c r="H13" s="29">
        <f t="shared" si="13"/>
        <v>0</v>
      </c>
      <c r="I13" s="79">
        <f>(I11*$O$11+I12*$O$12)/$O$13</f>
        <v>0</v>
      </c>
      <c r="J13" s="29">
        <f t="shared" ref="J13" si="14">SUM(J11:J12)</f>
        <v>642.5</v>
      </c>
      <c r="K13" s="79">
        <f>(K11*$O$11+K12*$O$12)/$O$13</f>
        <v>3.3135444915745313E-2</v>
      </c>
      <c r="L13" s="30">
        <f t="shared" si="13"/>
        <v>685.63154906054285</v>
      </c>
      <c r="M13" s="79">
        <f>(M11*$O$11+M12*$O$12)/$O$13</f>
        <v>0.39230458591196721</v>
      </c>
      <c r="N13" s="79">
        <f>(N11*$O$11+N12*$O$12)/$O$13</f>
        <v>0.35694473155182282</v>
      </c>
      <c r="O13" s="31">
        <f>SUM(O11:O12)</f>
        <v>394</v>
      </c>
      <c r="P13" s="79">
        <f>(P11*$O$11+P12*$O$12)/$O$13</f>
        <v>0.60961753741421942</v>
      </c>
      <c r="Q13" s="79">
        <f>(Q11*$O$11+Q12*$O$12)/$O$13</f>
        <v>0.31559753030619103</v>
      </c>
      <c r="R13" s="79">
        <f>(R11*$O$11+R12*$O$12)/$O$13</f>
        <v>3.5359854360144355E-2</v>
      </c>
      <c r="S13" s="62">
        <f>SUM(S11:S12)</f>
        <v>1089265.94</v>
      </c>
      <c r="T13" s="189">
        <f>SUM(T11:T12)</f>
        <v>432</v>
      </c>
      <c r="U13" s="150"/>
      <c r="W13" s="64"/>
      <c r="X13" s="8"/>
      <c r="Y13" s="6"/>
      <c r="Z13" s="6"/>
      <c r="AD13" s="64"/>
      <c r="AE13" s="8"/>
      <c r="AF13" s="6"/>
    </row>
    <row r="14" spans="1:33" x14ac:dyDescent="0.25">
      <c r="A14" s="16" t="s">
        <v>42</v>
      </c>
      <c r="B14" s="17">
        <v>5</v>
      </c>
      <c r="C14" s="6">
        <f>'OMC Hrs'!C13</f>
        <v>6703.51</v>
      </c>
      <c r="D14" s="46">
        <v>6703.51</v>
      </c>
      <c r="E14" s="6">
        <f>SUM('KPI_FY 24-25'!E16,'KPI_FY 24-25'!AA16,'KPI_FY 24-25'!AW16,'KPI_FY 24-25'!BS16,'KPI_FY 24-25'!CO16,'KPI_FY 24-25'!DK16,'KPI_FY 24-25'!EG16,'KPI_FY 24-25'!FC16,'KPI_FY 24-25'!FY16,'KPI_FY 24-25'!GU16,'KPI_FY 24-25'!HQ16,'KPI_FY 24-25'!IM16)</f>
        <v>0</v>
      </c>
      <c r="F14" s="46">
        <f>'OMC Hrs'!H13</f>
        <v>540.05999999999995</v>
      </c>
      <c r="G14" s="69">
        <f>(F14/$B$2)</f>
        <v>6.1650684931506841E-2</v>
      </c>
      <c r="H14" s="8">
        <f>'OMC Hrs'!J13</f>
        <v>1516.43</v>
      </c>
      <c r="I14" s="69">
        <f>(H14/$B$2)</f>
        <v>0.17310844748858448</v>
      </c>
      <c r="J14" s="6">
        <f>SUM('KPI_FY 24-25'!J16,'KPI_FY 24-25'!AF16,'KPI_FY 24-25'!BB16,'KPI_FY 24-25'!BX16,'KPI_FY 24-25'!CT16,'KPI_FY 24-25'!DP16,'KPI_FY 24-25'!EL16,'KPI_FY 24-25'!FH16,'KPI_FY 24-25'!GD16,'KPI_FY 24-25'!GZ16,'KPI_FY 24-25'!HV16,'KPI_FY 24-25'!IR16)</f>
        <v>0</v>
      </c>
      <c r="K14" s="69">
        <f>(J14/$B$2)</f>
        <v>0</v>
      </c>
      <c r="L14" s="46">
        <v>1951.0922338204593</v>
      </c>
      <c r="M14" s="69">
        <f>(C14/$B$2)</f>
        <v>0.76524086757990872</v>
      </c>
      <c r="N14" s="69">
        <f>((C14-L14)/$B$2)</f>
        <v>0.54251344362780152</v>
      </c>
      <c r="O14" s="15">
        <v>350</v>
      </c>
      <c r="P14" s="149">
        <f>IF((AND(D14=0,F14=0)),0,(F14+L14)/(D14+F14+L14))</f>
        <v>0.27093461080683601</v>
      </c>
      <c r="Q14" s="69">
        <f>(S14/($B$2*O14))</f>
        <v>0.50725048923679061</v>
      </c>
      <c r="R14" s="69">
        <f>(L14/$B$2)</f>
        <v>0.22272742395210723</v>
      </c>
      <c r="S14" s="137">
        <f>SUM('KPI_FY 24-25'!T16,'KPI_FY 24-25'!AP16,'KPI_FY 24-25'!BL16,'KPI_FY 24-25'!CH16,'KPI_FY 24-25'!DD16,'KPI_FY 24-25'!DZ16,'KPI_FY 24-25'!EV16,'KPI_FY 24-25'!FR16,'KPI_FY 24-25'!GN16,'KPI_FY 24-25'!HJ16,'KPI_FY 24-25'!IF16,'KPI_FY 24-25'!JB16)</f>
        <v>1555230</v>
      </c>
      <c r="T14" s="8">
        <v>410</v>
      </c>
      <c r="U14" s="150">
        <f>SUM(G14,I14,K14,R14,N14)</f>
        <v>1</v>
      </c>
      <c r="W14" s="64"/>
      <c r="X14" s="8"/>
      <c r="Y14" s="6"/>
      <c r="Z14" s="6"/>
      <c r="AD14" s="64"/>
      <c r="AE14" s="8"/>
      <c r="AF14" s="6"/>
    </row>
    <row r="15" spans="1:33" x14ac:dyDescent="0.25">
      <c r="A15" s="16" t="s">
        <v>43</v>
      </c>
      <c r="B15" s="17">
        <v>6</v>
      </c>
      <c r="C15" s="6">
        <f>'OMC Hrs'!C14</f>
        <v>8571.4599999999991</v>
      </c>
      <c r="D15" s="46">
        <v>8571.4599999999991</v>
      </c>
      <c r="E15" s="6">
        <f>SUM('KPI_FY 24-25'!E17,'KPI_FY 24-25'!AA17,'KPI_FY 24-25'!AW17,'KPI_FY 24-25'!BS17,'KPI_FY 24-25'!CO17,'KPI_FY 24-25'!DK17,'KPI_FY 24-25'!EG17,'KPI_FY 24-25'!FC17,'KPI_FY 24-25'!FY17,'KPI_FY 24-25'!GU17,'KPI_FY 24-25'!HQ17,'KPI_FY 24-25'!IM17)</f>
        <v>0</v>
      </c>
      <c r="F15" s="46">
        <f>'OMC Hrs'!H14</f>
        <v>188.53999999999996</v>
      </c>
      <c r="G15" s="69">
        <f>(F15/$B$2)</f>
        <v>2.1522831050228307E-2</v>
      </c>
      <c r="H15" s="8">
        <f>'OMC Hrs'!J14</f>
        <v>0</v>
      </c>
      <c r="I15" s="69">
        <f>(H15/$B$2)</f>
        <v>0</v>
      </c>
      <c r="J15" s="6">
        <f>SUM('KPI_FY 24-25'!J17,'KPI_FY 24-25'!AF17,'KPI_FY 24-25'!BB17,'KPI_FY 24-25'!BX17,'KPI_FY 24-25'!CT17,'KPI_FY 24-25'!DP17,'KPI_FY 24-25'!EL17,'KPI_FY 24-25'!FH17,'KPI_FY 24-25'!GD17,'KPI_FY 24-25'!GZ17,'KPI_FY 24-25'!HV17,'KPI_FY 24-25'!IR17)</f>
        <v>0</v>
      </c>
      <c r="K15" s="69">
        <f>(J15/$B$2)</f>
        <v>0</v>
      </c>
      <c r="L15" s="46">
        <v>1461.4791022964509</v>
      </c>
      <c r="M15" s="69">
        <f>(C15/$B$2)</f>
        <v>0.97847716894977155</v>
      </c>
      <c r="N15" s="69">
        <f>((C15-L15)/$B$2)</f>
        <v>0.81164165498898955</v>
      </c>
      <c r="O15" s="15">
        <v>350</v>
      </c>
      <c r="P15" s="149">
        <f>IF((AND(D15=0,F15=0)),0,(F15+L15)/(D15+F15+L15))</f>
        <v>0.16142664733577966</v>
      </c>
      <c r="Q15" s="69">
        <f>(S15/($B$2*O15))</f>
        <v>0.75121004566210048</v>
      </c>
      <c r="R15" s="69">
        <f>(L15/$B$2)</f>
        <v>0.16683551396078208</v>
      </c>
      <c r="S15" s="137">
        <f>SUM('KPI_FY 24-25'!T17,'KPI_FY 24-25'!AP17,'KPI_FY 24-25'!BL17,'KPI_FY 24-25'!CH17,'KPI_FY 24-25'!DD17,'KPI_FY 24-25'!DZ17,'KPI_FY 24-25'!EV17,'KPI_FY 24-25'!FR17,'KPI_FY 24-25'!GN17,'KPI_FY 24-25'!HJ17,'KPI_FY 24-25'!IF17,'KPI_FY 24-25'!JB17)</f>
        <v>2303210</v>
      </c>
      <c r="T15" s="8">
        <v>410</v>
      </c>
      <c r="U15" s="150">
        <f>SUM(G15,I15,K15,R15,N15)</f>
        <v>1</v>
      </c>
      <c r="W15" s="64"/>
      <c r="X15" s="8"/>
      <c r="Y15" s="6"/>
      <c r="Z15" s="6"/>
    </row>
    <row r="16" spans="1:33" x14ac:dyDescent="0.25">
      <c r="A16" s="16"/>
      <c r="B16" s="90" t="s">
        <v>39</v>
      </c>
      <c r="C16" s="47">
        <f>SUM(C14:C15)</f>
        <v>15274.97</v>
      </c>
      <c r="D16" s="47">
        <f>SUM(D14:D15)</f>
        <v>15274.97</v>
      </c>
      <c r="E16" s="29">
        <f t="shared" ref="E16:L16" si="15">SUM(E14:E15)</f>
        <v>0</v>
      </c>
      <c r="F16" s="47">
        <f t="shared" si="15"/>
        <v>728.59999999999991</v>
      </c>
      <c r="G16" s="79">
        <f>(G14*O14+G15*O15)/O16</f>
        <v>4.1586757990867577E-2</v>
      </c>
      <c r="H16" s="29">
        <f t="shared" si="15"/>
        <v>1516.43</v>
      </c>
      <c r="I16" s="79">
        <f>(I14*$O$14+I15*$O$15)/$O$16</f>
        <v>8.6554223744292239E-2</v>
      </c>
      <c r="J16" s="29">
        <f t="shared" ref="J16" si="16">SUM(J14:J15)</f>
        <v>0</v>
      </c>
      <c r="K16" s="79">
        <f>(K14*$O$14+K15*$O$15)/$O$16</f>
        <v>0</v>
      </c>
      <c r="L16" s="47">
        <f t="shared" si="15"/>
        <v>3412.5713361169101</v>
      </c>
      <c r="M16" s="79">
        <f>(M14*$O$14+M15*$O$15)/$O$16</f>
        <v>0.87185901826484014</v>
      </c>
      <c r="N16" s="79">
        <f>(N14*$O$14+N15*$O$15)/$O$16</f>
        <v>0.67707754930839559</v>
      </c>
      <c r="O16" s="31">
        <f>SUM(O14:O15)</f>
        <v>700</v>
      </c>
      <c r="P16" s="79">
        <f>(P14*$O$14+P15*$O$15)/$O$16</f>
        <v>0.21618062907130783</v>
      </c>
      <c r="Q16" s="79">
        <f>(Q14*$O$14+Q15*$O$15)/$O$16</f>
        <v>0.62923026744944555</v>
      </c>
      <c r="R16" s="79">
        <f>(R14*$O$14+R15*$O$15)/$O$16</f>
        <v>0.19478146895644466</v>
      </c>
      <c r="S16" s="62">
        <f>SUM(S14:S15)</f>
        <v>3858440</v>
      </c>
      <c r="T16" s="29">
        <f>SUM(T14:T15)</f>
        <v>820</v>
      </c>
      <c r="U16" s="150"/>
      <c r="W16" s="64"/>
      <c r="X16" s="8"/>
      <c r="Y16" s="6"/>
      <c r="Z16" s="6"/>
      <c r="AD16" s="5"/>
      <c r="AE16" s="56"/>
      <c r="AF16" s="3"/>
    </row>
    <row r="17" spans="1:32" x14ac:dyDescent="0.25">
      <c r="A17" s="16" t="s">
        <v>44</v>
      </c>
      <c r="B17" s="17">
        <v>1</v>
      </c>
      <c r="C17" s="6">
        <f>'OMC Hrs'!C16</f>
        <v>3481.4299999999994</v>
      </c>
      <c r="D17" s="46">
        <v>3481.4299999999994</v>
      </c>
      <c r="E17" s="6">
        <f>SUM('KPI_FY 24-25'!E19,'KPI_FY 24-25'!AA19,'KPI_FY 24-25'!AW19,'KPI_FY 24-25'!BS19,'KPI_FY 24-25'!CO19,'KPI_FY 24-25'!DK19,'KPI_FY 24-25'!EG19,'KPI_FY 24-25'!FC19,'KPI_FY 24-25'!FY19,'KPI_FY 24-25'!GU19,'KPI_FY 24-25'!HQ19,'KPI_FY 24-25'!IM19)</f>
        <v>0</v>
      </c>
      <c r="F17" s="46">
        <f>'OMC Hrs'!H16</f>
        <v>4444.6000000000004</v>
      </c>
      <c r="G17" s="69">
        <f>(F17/$B$2)</f>
        <v>0.50737442922374432</v>
      </c>
      <c r="H17" s="8">
        <f>'OMC Hrs'!J16</f>
        <v>833.97</v>
      </c>
      <c r="I17" s="69">
        <f>(H17/$B$2)</f>
        <v>9.5202054794520555E-2</v>
      </c>
      <c r="J17" s="6">
        <f>SUM('KPI_FY 24-25'!J19,'KPI_FY 24-25'!AF19,'KPI_FY 24-25'!BB19,'KPI_FY 24-25'!BX19,'KPI_FY 24-25'!CT19,'KPI_FY 24-25'!DP19,'KPI_FY 24-25'!EL19,'KPI_FY 24-25'!FH19,'KPI_FY 24-25'!GD19,'KPI_FY 24-25'!GZ19,'KPI_FY 24-25'!HV19,'KPI_FY 24-25'!IR19)</f>
        <v>0</v>
      </c>
      <c r="K17" s="69">
        <f>(J17/$B$2)</f>
        <v>0</v>
      </c>
      <c r="L17" s="6">
        <v>930.43657620041756</v>
      </c>
      <c r="M17" s="69">
        <f>(C17/$B$2)</f>
        <v>0.39742351598173509</v>
      </c>
      <c r="N17" s="69">
        <f>((C17-L17)/$B$2)</f>
        <v>0.29120929495429015</v>
      </c>
      <c r="O17" s="15">
        <v>350</v>
      </c>
      <c r="P17" s="149">
        <f>IF((AND(D17=0,F17=0)),0,(F17+L17)/(D17+F17+L17))</f>
        <v>0.60690530811063081</v>
      </c>
      <c r="Q17" s="69">
        <f>(S17/($B$2*O17))</f>
        <v>0.24031637312459231</v>
      </c>
      <c r="R17" s="69">
        <f>(L17/$B$2)</f>
        <v>0.10621422102744493</v>
      </c>
      <c r="S17" s="137">
        <f>SUM('KPI_FY 24-25'!T19,'KPI_FY 24-25'!AP19,'KPI_FY 24-25'!BL19,'KPI_FY 24-25'!CH19,'KPI_FY 24-25'!DD19,'KPI_FY 24-25'!DZ19,'KPI_FY 24-25'!EV19,'KPI_FY 24-25'!FR19,'KPI_FY 24-25'!GN19,'KPI_FY 24-25'!HJ19,'KPI_FY 24-25'!IF19,'KPI_FY 24-25'!JB19)</f>
        <v>736810</v>
      </c>
      <c r="T17" s="8">
        <v>450</v>
      </c>
      <c r="U17" s="150">
        <f>SUM(G17,I17,K17,R17,N17)</f>
        <v>1</v>
      </c>
      <c r="W17" s="64"/>
      <c r="X17" s="8"/>
      <c r="Y17" s="6"/>
      <c r="Z17" s="6"/>
      <c r="AD17" s="5"/>
      <c r="AE17" s="56"/>
      <c r="AF17" s="3"/>
    </row>
    <row r="18" spans="1:32" x14ac:dyDescent="0.25">
      <c r="A18" s="8"/>
      <c r="B18" s="17">
        <v>2</v>
      </c>
      <c r="C18" s="6">
        <f>'OMC Hrs'!C17</f>
        <v>1038.5499999999993</v>
      </c>
      <c r="D18" s="46">
        <v>1038.5499999999993</v>
      </c>
      <c r="E18" s="6">
        <f>SUM('KPI_FY 24-25'!E20,'KPI_FY 24-25'!AA20,'KPI_FY 24-25'!AW20,'KPI_FY 24-25'!BS20,'KPI_FY 24-25'!CO20,'KPI_FY 24-25'!DK20,'KPI_FY 24-25'!EG20,'KPI_FY 24-25'!FC20,'KPI_FY 24-25'!FY20,'KPI_FY 24-25'!GU20,'KPI_FY 24-25'!HQ20,'KPI_FY 24-25'!IM20)</f>
        <v>0</v>
      </c>
      <c r="F18" s="46">
        <f>'OMC Hrs'!H17</f>
        <v>4776.2000000000007</v>
      </c>
      <c r="G18" s="69">
        <f>(F18/$B$2)</f>
        <v>0.54522831050228315</v>
      </c>
      <c r="H18" s="8">
        <f>'OMC Hrs'!J17</f>
        <v>2945.25</v>
      </c>
      <c r="I18" s="69">
        <f>(H18/$B$2)</f>
        <v>0.33621575342465754</v>
      </c>
      <c r="J18" s="6">
        <f>SUM('KPI_FY 24-25'!J20,'KPI_FY 24-25'!AF20,'KPI_FY 24-25'!BB20,'KPI_FY 24-25'!BX20,'KPI_FY 24-25'!CT20,'KPI_FY 24-25'!DP20,'KPI_FY 24-25'!EL20,'KPI_FY 24-25'!FH20,'KPI_FY 24-25'!GD20,'KPI_FY 24-25'!GZ20,'KPI_FY 24-25'!HV20,'KPI_FY 24-25'!IR20)</f>
        <v>0</v>
      </c>
      <c r="K18" s="69">
        <f>(J18/$B$2)</f>
        <v>0</v>
      </c>
      <c r="L18" s="6">
        <v>224.28398747390395</v>
      </c>
      <c r="M18" s="69">
        <f>(C18/$B$2)</f>
        <v>0.11855593607305928</v>
      </c>
      <c r="N18" s="69">
        <f>((C18-L18)/$B$2)</f>
        <v>9.2952741155946955E-2</v>
      </c>
      <c r="O18" s="15">
        <v>350</v>
      </c>
      <c r="P18" s="149">
        <f>IF((AND(D18=0,F18=0)),0,(F18+L18)/(D18+F18+L18))</f>
        <v>0.82802713113485571</v>
      </c>
      <c r="Q18" s="69">
        <f>(S18/($B$2*O18))</f>
        <v>7.5016307893020218E-2</v>
      </c>
      <c r="R18" s="69">
        <f>(L18/$B$2)</f>
        <v>2.5603194917112323E-2</v>
      </c>
      <c r="S18" s="137">
        <f>SUM('KPI_FY 24-25'!T20,'KPI_FY 24-25'!AP20,'KPI_FY 24-25'!BL20,'KPI_FY 24-25'!CH20,'KPI_FY 24-25'!DD20,'KPI_FY 24-25'!DZ20,'KPI_FY 24-25'!EV20,'KPI_FY 24-25'!FR20,'KPI_FY 24-25'!GN20,'KPI_FY 24-25'!HJ20,'KPI_FY 24-25'!IF20,'KPI_FY 24-25'!JB20)</f>
        <v>230000</v>
      </c>
      <c r="T18" s="8">
        <v>450</v>
      </c>
      <c r="U18" s="150">
        <f>SUM(G18,I18,K18,R18,N18)</f>
        <v>1</v>
      </c>
      <c r="W18" s="64"/>
      <c r="X18" s="8"/>
      <c r="Y18" s="6"/>
      <c r="Z18" s="52"/>
    </row>
    <row r="19" spans="1:32" x14ac:dyDescent="0.25">
      <c r="A19" s="8"/>
      <c r="B19" s="204" t="s">
        <v>39</v>
      </c>
      <c r="C19" s="205">
        <f>SUM(C17:C18)</f>
        <v>4519.9799999999987</v>
      </c>
      <c r="D19" s="205">
        <f>SUM(D17:D18)</f>
        <v>4519.9799999999987</v>
      </c>
      <c r="E19" s="155">
        <f t="shared" ref="E19:F19" si="17">SUM(E17:E18)</f>
        <v>0</v>
      </c>
      <c r="F19" s="205">
        <f t="shared" si="17"/>
        <v>9220.8000000000011</v>
      </c>
      <c r="G19" s="165">
        <f>(G17*O17+G18*O18)/O19</f>
        <v>0.52630136986301379</v>
      </c>
      <c r="H19" s="155">
        <f t="shared" ref="H19:J19" si="18">SUM(H17:H18)</f>
        <v>3779.2200000000003</v>
      </c>
      <c r="I19" s="165">
        <f>(I17*$O$17+I18*$O$18)/$O$19</f>
        <v>0.21570890410958904</v>
      </c>
      <c r="J19" s="155">
        <f t="shared" si="18"/>
        <v>0</v>
      </c>
      <c r="K19" s="165">
        <f>(K17*$O$17+K18*$O$18)/$O$19</f>
        <v>0</v>
      </c>
      <c r="L19" s="205">
        <f t="shared" ref="L19" si="19">SUM(L17:L18)</f>
        <v>1154.7205636743215</v>
      </c>
      <c r="M19" s="165">
        <f>(M17*$O$17+M18*$O$18)/$O$19</f>
        <v>0.25798972602739717</v>
      </c>
      <c r="N19" s="165">
        <f>(N17*$O$17+N18*$O$18)/$O$19</f>
        <v>0.19208101805511854</v>
      </c>
      <c r="O19" s="158">
        <f>SUM(O17:O18)</f>
        <v>700</v>
      </c>
      <c r="P19" s="165">
        <f>(P17*$O$17+P18*$O$18)/$O$19</f>
        <v>0.71746621962274326</v>
      </c>
      <c r="Q19" s="165">
        <f>(Q17*$O$17+Q18*$O$18)/$O$19</f>
        <v>0.15766634050880629</v>
      </c>
      <c r="R19" s="165">
        <f>(R17*$O$17+R18*$O$18)/$O$19</f>
        <v>6.590870797227863E-2</v>
      </c>
      <c r="S19" s="206">
        <f>SUM(S17:S18)</f>
        <v>966810</v>
      </c>
      <c r="T19" s="155">
        <f>SUM(T17:T18)</f>
        <v>900</v>
      </c>
      <c r="U19" s="151"/>
      <c r="W19" s="64"/>
    </row>
    <row r="20" spans="1:32" ht="15.75" thickBot="1" x14ac:dyDescent="0.3">
      <c r="A20" s="8"/>
      <c r="B20" s="24" t="s">
        <v>85</v>
      </c>
      <c r="C20" s="127">
        <f>SUM(C19,C16,C13,C10)</f>
        <v>63848.08</v>
      </c>
      <c r="D20" s="127">
        <f>SUM(D19,D16,D13,D10)</f>
        <v>63557.08</v>
      </c>
      <c r="E20" s="127">
        <f>SUM(E19,E16,E13,E10)</f>
        <v>291</v>
      </c>
      <c r="F20" s="127">
        <f>SUM(F19,F16,F13,F10)</f>
        <v>23069.17</v>
      </c>
      <c r="G20" s="211">
        <f>(G10*$O$10+G13*$O$13+G16*$O$16+G19*$O$19)/$O$20</f>
        <v>0.28043256818462298</v>
      </c>
      <c r="H20" s="127">
        <f>SUM(H19,H16,H13,H10)</f>
        <v>15319.25</v>
      </c>
      <c r="I20" s="211">
        <f>(I10*$O$10+I13*$O$13+I16*$O$16+I19*$O$19)/$O$20</f>
        <v>0.14643280741225947</v>
      </c>
      <c r="J20" s="127">
        <f>SUM(J19,J16,J13,J10)</f>
        <v>2883.5</v>
      </c>
      <c r="K20" s="211">
        <f>(K10*$O$10+K13*$O$13+K16*$O$16+K19*$O$19)/$O$20</f>
        <v>1.6372032200799327E-2</v>
      </c>
      <c r="L20" s="127">
        <f>SUM(L19,L16,L13,L10)</f>
        <v>5877.2874279749476</v>
      </c>
      <c r="M20" s="211">
        <f>(M10*$O$10+M13*$O$13+M16*$O$16+M19*$O$19)/$O$20</f>
        <v>0.55676259220231816</v>
      </c>
      <c r="N20" s="212">
        <f>(N10*$O$10+N13*$O$13+N16*$O$16+N19*$O$19)/$O$20</f>
        <v>0.47220970024544079</v>
      </c>
      <c r="O20" s="207">
        <f>SUM(O10,O13,O16,O19)</f>
        <v>2405</v>
      </c>
      <c r="P20" s="211">
        <f>(P10*$O$10+P13*$O$13+P16*$O$16+P19*$O$19)/$O$20</f>
        <v>0.41949043323653018</v>
      </c>
      <c r="Q20" s="211">
        <f t="shared" ref="Q20:R20" si="20">(Q10*$O$10+Q13*$O$13+Q16*$O$16+Q19*$O$19)/$O$20</f>
        <v>0.38865173107775847</v>
      </c>
      <c r="R20" s="211">
        <f t="shared" si="20"/>
        <v>8.455289195687743E-2</v>
      </c>
      <c r="S20" s="208">
        <f>SUM(S19,S16,S13,S10)</f>
        <v>8188036.9399999995</v>
      </c>
      <c r="T20" s="207">
        <f>SUM(T19,T16,T13,T10)</f>
        <v>2792</v>
      </c>
      <c r="U20" s="151"/>
      <c r="W20" s="64"/>
    </row>
    <row r="21" spans="1:32" x14ac:dyDescent="0.25">
      <c r="A21" s="74" t="s">
        <v>45</v>
      </c>
      <c r="B21" s="8" t="s">
        <v>46</v>
      </c>
      <c r="C21" s="6">
        <v>3271.6</v>
      </c>
      <c r="D21" s="6">
        <v>2058</v>
      </c>
      <c r="E21" s="6">
        <v>1213.5999999999999</v>
      </c>
      <c r="F21" s="6">
        <v>5478.6</v>
      </c>
      <c r="G21" s="69">
        <f>(F21/$B$2)</f>
        <v>0.62541095890410958</v>
      </c>
      <c r="H21" s="6">
        <f>SUM('KPI_FY 24-25'!H23,'KPI_FY 24-25'!AD23,'KPI_FY 24-25'!AZ23,'KPI_FY 24-25'!BV23,'KPI_FY 24-25'!CR23,'KPI_FY 24-25'!DN23,'KPI_FY 24-25'!EJ23,'KPI_FY 24-25'!FF23,'KPI_FY 24-25'!GB23,'KPI_FY 24-25'!GX23,'KPI_FY 24-25'!HT23,'KPI_FY 24-25'!IP23)</f>
        <v>0</v>
      </c>
      <c r="I21" s="69">
        <f>(H21/$B$2)</f>
        <v>0</v>
      </c>
      <c r="J21" s="6">
        <f>SUM('KPI_FY 24-25'!J23,'KPI_FY 24-25'!AF23,'KPI_FY 24-25'!BB23,'KPI_FY 24-25'!BX23,'KPI_FY 24-25'!CT23,'KPI_FY 24-25'!DP23,'KPI_FY 24-25'!EL23,'KPI_FY 24-25'!FH23,'KPI_FY 24-25'!GD23,'KPI_FY 24-25'!GZ23,'KPI_FY 24-25'!HV23,'KPI_FY 24-25'!IR23)</f>
        <v>9.8000000000000007</v>
      </c>
      <c r="K21" s="69">
        <f>(J21/$B$2)</f>
        <v>1.1187214611872148E-3</v>
      </c>
      <c r="L21" s="8">
        <f>SUM('KPI_FY 24-25'!L23,'KPI_FY 24-25'!AH23,'KPI_FY 24-25'!BD23,'KPI_FY 24-25'!BZ23,'KPI_FY 24-25'!CV23,'KPI_FY 24-25'!DR23,'KPI_FY 24-25'!EN23,'KPI_FY 24-25'!FJ23,'KPI_FY 24-25'!GF23,'KPI_FY 24-25'!HB23,'KPI_FY 24-25'!HX23,'KPI_FY 24-25'!IT23)</f>
        <v>0</v>
      </c>
      <c r="M21" s="69">
        <f>(C21/$B$2)</f>
        <v>0.37347031963470317</v>
      </c>
      <c r="N21" s="69">
        <f t="shared" ref="N21:N30" si="21">((C21-L21)/$B$2)</f>
        <v>0.37347031963470317</v>
      </c>
      <c r="O21" s="15">
        <v>96</v>
      </c>
      <c r="P21" s="149">
        <f t="shared" ref="P21:P30" si="22">IF((AND(D21=0,F21=0)),0,(F21+L21)/(D21+F21+L21))</f>
        <v>0.72693256906297266</v>
      </c>
      <c r="Q21" s="69">
        <f t="shared" ref="Q21:Q30" si="23">(S21/($B$2*O21))</f>
        <v>6.2426274733637745E-2</v>
      </c>
      <c r="R21" s="69">
        <f>(L21/$B$2)</f>
        <v>0</v>
      </c>
      <c r="S21" s="137">
        <f>SUM('KPI_FY 24-25'!T23,'KPI_FY 24-25'!AP23,'KPI_FY 24-25'!BL23,'KPI_FY 24-25'!CH23,'KPI_FY 24-25'!DD23,'KPI_FY 24-25'!DZ23,'KPI_FY 24-25'!EV23,'KPI_FY 24-25'!FR23,'KPI_FY 24-25'!GN23,'KPI_FY 24-25'!HJ23,'KPI_FY 24-25'!IF23,'KPI_FY 24-25'!JB23)</f>
        <v>52498</v>
      </c>
      <c r="T21" s="8">
        <v>96</v>
      </c>
      <c r="U21" s="150">
        <f t="shared" ref="U21:U30" si="24">SUM(G21,I21,K21,R21,N21)</f>
        <v>1</v>
      </c>
    </row>
    <row r="22" spans="1:32" x14ac:dyDescent="0.25">
      <c r="A22" s="8"/>
      <c r="B22" s="37" t="s">
        <v>47</v>
      </c>
      <c r="C22" s="6">
        <v>8105.6</v>
      </c>
      <c r="D22" s="6">
        <v>4360</v>
      </c>
      <c r="E22" s="6">
        <v>3745.6</v>
      </c>
      <c r="F22" s="6">
        <v>404.79999999999995</v>
      </c>
      <c r="G22" s="69">
        <f t="shared" ref="G22:G30" si="25">(F22/$B$2)</f>
        <v>4.6210045662100449E-2</v>
      </c>
      <c r="H22" s="6">
        <f>SUM('KPI_FY 24-25'!H24,'KPI_FY 24-25'!AD24,'KPI_FY 24-25'!AZ24,'KPI_FY 24-25'!BV24,'KPI_FY 24-25'!CR24,'KPI_FY 24-25'!DN24,'KPI_FY 24-25'!EJ24,'KPI_FY 24-25'!FF24,'KPI_FY 24-25'!GB24,'KPI_FY 24-25'!GX24,'KPI_FY 24-25'!HT24,'KPI_FY 24-25'!IP24)</f>
        <v>233</v>
      </c>
      <c r="I22" s="69">
        <f t="shared" ref="I22:I30" si="26">(H22/$B$2)</f>
        <v>2.6598173515981736E-2</v>
      </c>
      <c r="J22" s="6">
        <f>SUM('KPI_FY 24-25'!J24,'KPI_FY 24-25'!AF24,'KPI_FY 24-25'!BB24,'KPI_FY 24-25'!BX24,'KPI_FY 24-25'!CT24,'KPI_FY 24-25'!DP24,'KPI_FY 24-25'!EL24,'KPI_FY 24-25'!FH24,'KPI_FY 24-25'!GD24,'KPI_FY 24-25'!GZ24,'KPI_FY 24-25'!HV24,'KPI_FY 24-25'!IR24)</f>
        <v>16.600000000000001</v>
      </c>
      <c r="K22" s="69">
        <f t="shared" ref="K22:K30" si="27">(J22/$B$2)</f>
        <v>1.8949771689497719E-3</v>
      </c>
      <c r="L22" s="8">
        <f>SUM('KPI_FY 24-25'!L24,'KPI_FY 24-25'!AH24,'KPI_FY 24-25'!BD24,'KPI_FY 24-25'!BZ24,'KPI_FY 24-25'!CV24,'KPI_FY 24-25'!DR24,'KPI_FY 24-25'!EN24,'KPI_FY 24-25'!FJ24,'KPI_FY 24-25'!GF24,'KPI_FY 24-25'!HB24,'KPI_FY 24-25'!HX24,'KPI_FY 24-25'!IT24)</f>
        <v>0</v>
      </c>
      <c r="M22" s="69">
        <f t="shared" ref="M22:M30" si="28">(C22/$B$2)</f>
        <v>0.92529680365296807</v>
      </c>
      <c r="N22" s="69">
        <f t="shared" si="21"/>
        <v>0.92529680365296807</v>
      </c>
      <c r="O22" s="15">
        <v>50</v>
      </c>
      <c r="P22" s="149">
        <f t="shared" si="22"/>
        <v>8.495634654130288E-2</v>
      </c>
      <c r="Q22" s="69">
        <f t="shared" si="23"/>
        <v>0.39364155251141553</v>
      </c>
      <c r="R22" s="69">
        <f t="shared" ref="R22:R30" si="29">(L22/$B$2)</f>
        <v>0</v>
      </c>
      <c r="S22" s="137">
        <f>SUM('KPI_FY 24-25'!T24,'KPI_FY 24-25'!AP24,'KPI_FY 24-25'!BL24,'KPI_FY 24-25'!CH24,'KPI_FY 24-25'!DD24,'KPI_FY 24-25'!DZ24,'KPI_FY 24-25'!EV24,'KPI_FY 24-25'!FR24,'KPI_FY 24-25'!GN24,'KPI_FY 24-25'!HJ24,'KPI_FY 24-25'!IF24,'KPI_FY 24-25'!JB24)</f>
        <v>172415</v>
      </c>
      <c r="T22" s="8">
        <v>50</v>
      </c>
      <c r="U22" s="150">
        <f t="shared" si="24"/>
        <v>1</v>
      </c>
      <c r="V22" s="65"/>
      <c r="W22" s="63"/>
      <c r="X22" s="63"/>
    </row>
    <row r="23" spans="1:32" x14ac:dyDescent="0.25">
      <c r="A23" s="8"/>
      <c r="B23" s="37" t="s">
        <v>48</v>
      </c>
      <c r="C23" s="6">
        <v>8132</v>
      </c>
      <c r="D23" s="6">
        <v>4874</v>
      </c>
      <c r="E23" s="6">
        <v>3257.9999999999991</v>
      </c>
      <c r="F23" s="6">
        <v>430.1</v>
      </c>
      <c r="G23" s="69">
        <f t="shared" si="25"/>
        <v>4.9098173515981738E-2</v>
      </c>
      <c r="H23" s="6">
        <f>SUM('KPI_FY 24-25'!H25,'KPI_FY 24-25'!AD25,'KPI_FY 24-25'!AZ25,'KPI_FY 24-25'!BV25,'KPI_FY 24-25'!CR25,'KPI_FY 24-25'!DN25,'KPI_FY 24-25'!EJ25,'KPI_FY 24-25'!FF25,'KPI_FY 24-25'!GB25,'KPI_FY 24-25'!GX25,'KPI_FY 24-25'!HT25,'KPI_FY 24-25'!IP25)</f>
        <v>179.89999999999998</v>
      </c>
      <c r="I23" s="69">
        <f t="shared" si="26"/>
        <v>2.0536529680365293E-2</v>
      </c>
      <c r="J23" s="6">
        <f>SUM('KPI_FY 24-25'!J25,'KPI_FY 24-25'!AF25,'KPI_FY 24-25'!BB25,'KPI_FY 24-25'!BX25,'KPI_FY 24-25'!CT25,'KPI_FY 24-25'!DP25,'KPI_FY 24-25'!EL25,'KPI_FY 24-25'!FH25,'KPI_FY 24-25'!GD25,'KPI_FY 24-25'!GZ25,'KPI_FY 24-25'!HV25,'KPI_FY 24-25'!IR25)</f>
        <v>18</v>
      </c>
      <c r="K23" s="69">
        <f t="shared" si="27"/>
        <v>2.054794520547945E-3</v>
      </c>
      <c r="L23" s="8">
        <f>SUM('KPI_FY 24-25'!L25,'KPI_FY 24-25'!AH25,'KPI_FY 24-25'!BD25,'KPI_FY 24-25'!BZ25,'KPI_FY 24-25'!CV25,'KPI_FY 24-25'!DR25,'KPI_FY 24-25'!EN25,'KPI_FY 24-25'!FJ25,'KPI_FY 24-25'!GF25,'KPI_FY 24-25'!HB25,'KPI_FY 24-25'!HX25,'KPI_FY 24-25'!IT25)</f>
        <v>0</v>
      </c>
      <c r="M23" s="69">
        <f t="shared" si="28"/>
        <v>0.92831050228310508</v>
      </c>
      <c r="N23" s="69">
        <f t="shared" si="21"/>
        <v>0.92831050228310508</v>
      </c>
      <c r="O23" s="15">
        <v>50</v>
      </c>
      <c r="P23" s="149">
        <f t="shared" si="22"/>
        <v>8.1088214777247786E-2</v>
      </c>
      <c r="Q23" s="69">
        <f t="shared" si="23"/>
        <v>0.43383561643835616</v>
      </c>
      <c r="R23" s="69">
        <f t="shared" si="29"/>
        <v>0</v>
      </c>
      <c r="S23" s="137">
        <f>SUM('KPI_FY 24-25'!T25,'KPI_FY 24-25'!AP25,'KPI_FY 24-25'!BL25,'KPI_FY 24-25'!CH25,'KPI_FY 24-25'!DD25,'KPI_FY 24-25'!DZ25,'KPI_FY 24-25'!EV25,'KPI_FY 24-25'!FR25,'KPI_FY 24-25'!GN25,'KPI_FY 24-25'!HJ25,'KPI_FY 24-25'!IF25,'KPI_FY 24-25'!JB25)</f>
        <v>190020</v>
      </c>
      <c r="T23" s="8">
        <v>50</v>
      </c>
      <c r="U23" s="150">
        <f t="shared" si="24"/>
        <v>1</v>
      </c>
      <c r="V23" s="65"/>
    </row>
    <row r="24" spans="1:32" x14ac:dyDescent="0.25">
      <c r="A24" s="8"/>
      <c r="B24" s="37" t="s">
        <v>49</v>
      </c>
      <c r="C24" s="6">
        <v>0</v>
      </c>
      <c r="D24" s="6">
        <v>0</v>
      </c>
      <c r="E24" s="6">
        <v>0</v>
      </c>
      <c r="F24" s="6">
        <v>0</v>
      </c>
      <c r="G24" s="69">
        <f t="shared" si="25"/>
        <v>0</v>
      </c>
      <c r="H24" s="6">
        <f>SUM('KPI_FY 24-25'!H26,'KPI_FY 24-25'!AD26,'KPI_FY 24-25'!AZ26,'KPI_FY 24-25'!BV26,'KPI_FY 24-25'!CR26,'KPI_FY 24-25'!DN26,'KPI_FY 24-25'!EJ26,'KPI_FY 24-25'!FF26,'KPI_FY 24-25'!GB26,'KPI_FY 24-25'!GX26,'KPI_FY 24-25'!HT26,'KPI_FY 24-25'!IP26)</f>
        <v>8760</v>
      </c>
      <c r="I24" s="69">
        <f t="shared" si="26"/>
        <v>1</v>
      </c>
      <c r="J24" s="6">
        <f>SUM('KPI_FY 24-25'!J26,'KPI_FY 24-25'!AF26,'KPI_FY 24-25'!BB26,'KPI_FY 24-25'!BX26,'KPI_FY 24-25'!CT26,'KPI_FY 24-25'!DP26,'KPI_FY 24-25'!EL26,'KPI_FY 24-25'!FH26,'KPI_FY 24-25'!GD26,'KPI_FY 24-25'!GZ26,'KPI_FY 24-25'!HV26,'KPI_FY 24-25'!IR26)</f>
        <v>0</v>
      </c>
      <c r="K24" s="69">
        <f t="shared" si="27"/>
        <v>0</v>
      </c>
      <c r="L24" s="8">
        <f>SUM('KPI_FY 24-25'!L26,'KPI_FY 24-25'!AH26,'KPI_FY 24-25'!BD26,'KPI_FY 24-25'!BZ26,'KPI_FY 24-25'!CV26,'KPI_FY 24-25'!DR26,'KPI_FY 24-25'!EN26,'KPI_FY 24-25'!FJ26,'KPI_FY 24-25'!GF26,'KPI_FY 24-25'!HB26,'KPI_FY 24-25'!HX26,'KPI_FY 24-25'!IT26)</f>
        <v>0</v>
      </c>
      <c r="M24" s="69">
        <f t="shared" si="28"/>
        <v>0</v>
      </c>
      <c r="N24" s="69">
        <f t="shared" si="21"/>
        <v>0</v>
      </c>
      <c r="O24" s="15">
        <v>50</v>
      </c>
      <c r="P24" s="149">
        <f t="shared" si="22"/>
        <v>0</v>
      </c>
      <c r="Q24" s="69">
        <f t="shared" si="23"/>
        <v>0</v>
      </c>
      <c r="R24" s="69">
        <f t="shared" si="29"/>
        <v>0</v>
      </c>
      <c r="S24" s="134">
        <f>SUM('KPI_FY 24-25'!T26,'KPI_FY 24-25'!AP26,'KPI_FY 24-25'!BL26,'KPI_FY 24-25'!CH26,'KPI_FY 24-25'!DD26,'KPI_FY 24-25'!DZ26,'KPI_FY 24-25'!EV26,'KPI_FY 24-25'!FR26,'KPI_FY 24-25'!GN26,'KPI_FY 24-25'!HJ26,'KPI_FY 24-25'!IF26,'KPI_FY 24-25'!JB26)</f>
        <v>0</v>
      </c>
      <c r="T24" s="8">
        <v>50</v>
      </c>
      <c r="U24" s="150">
        <f t="shared" si="24"/>
        <v>1</v>
      </c>
      <c r="V24" s="65"/>
    </row>
    <row r="25" spans="1:32" x14ac:dyDescent="0.25">
      <c r="A25" s="8"/>
      <c r="B25" s="37" t="s">
        <v>50</v>
      </c>
      <c r="C25" s="6">
        <v>8330.5</v>
      </c>
      <c r="D25" s="6">
        <v>3702</v>
      </c>
      <c r="E25" s="6">
        <v>4628.5</v>
      </c>
      <c r="F25" s="6">
        <v>421</v>
      </c>
      <c r="G25" s="69">
        <f t="shared" si="25"/>
        <v>4.8059360730593609E-2</v>
      </c>
      <c r="H25" s="6">
        <f>SUM('KPI_FY 24-25'!H27,'KPI_FY 24-25'!AD27,'KPI_FY 24-25'!AZ27,'KPI_FY 24-25'!BV27,'KPI_FY 24-25'!CR27,'KPI_FY 24-25'!DN27,'KPI_FY 24-25'!EJ27,'KPI_FY 24-25'!FF27,'KPI_FY 24-25'!GB27,'KPI_FY 24-25'!GX27,'KPI_FY 24-25'!HT27,'KPI_FY 24-25'!IP27)</f>
        <v>0</v>
      </c>
      <c r="I25" s="69">
        <f t="shared" si="26"/>
        <v>0</v>
      </c>
      <c r="J25" s="6">
        <f>SUM('KPI_FY 24-25'!J27,'KPI_FY 24-25'!AF27,'KPI_FY 24-25'!BB27,'KPI_FY 24-25'!BX27,'KPI_FY 24-25'!CT27,'KPI_FY 24-25'!DP27,'KPI_FY 24-25'!EL27,'KPI_FY 24-25'!FH27,'KPI_FY 24-25'!GD27,'KPI_FY 24-25'!GZ27,'KPI_FY 24-25'!HV27,'KPI_FY 24-25'!IR27)</f>
        <v>8.5</v>
      </c>
      <c r="K25" s="69">
        <f t="shared" si="27"/>
        <v>9.7031963470319634E-4</v>
      </c>
      <c r="L25" s="8">
        <f>SUM('KPI_FY 24-25'!L27,'KPI_FY 24-25'!AH27,'KPI_FY 24-25'!BD27,'KPI_FY 24-25'!BZ27,'KPI_FY 24-25'!CV27,'KPI_FY 24-25'!DR27,'KPI_FY 24-25'!EN27,'KPI_FY 24-25'!FJ27,'KPI_FY 24-25'!GF27,'KPI_FY 24-25'!HB27,'KPI_FY 24-25'!HX27,'KPI_FY 24-25'!IT27)</f>
        <v>0</v>
      </c>
      <c r="M25" s="69">
        <f t="shared" si="28"/>
        <v>0.95097031963470324</v>
      </c>
      <c r="N25" s="69">
        <f t="shared" si="21"/>
        <v>0.95097031963470324</v>
      </c>
      <c r="O25" s="15">
        <v>50</v>
      </c>
      <c r="P25" s="149">
        <f t="shared" si="22"/>
        <v>0.10211011399466408</v>
      </c>
      <c r="Q25" s="69">
        <f t="shared" si="23"/>
        <v>0.25411872146118719</v>
      </c>
      <c r="R25" s="69">
        <f t="shared" si="29"/>
        <v>0</v>
      </c>
      <c r="S25" s="137">
        <f>SUM('KPI_FY 24-25'!T27,'KPI_FY 24-25'!AP27,'KPI_FY 24-25'!BL27,'KPI_FY 24-25'!CH27,'KPI_FY 24-25'!DD27,'KPI_FY 24-25'!DZ27,'KPI_FY 24-25'!EV27,'KPI_FY 24-25'!FR27,'KPI_FY 24-25'!GN27,'KPI_FY 24-25'!HJ27,'KPI_FY 24-25'!IF27,'KPI_FY 24-25'!JB27)</f>
        <v>111304</v>
      </c>
      <c r="T25" s="8">
        <v>50</v>
      </c>
      <c r="U25" s="150">
        <f t="shared" si="24"/>
        <v>1</v>
      </c>
      <c r="X25" s="66"/>
      <c r="Y25" s="66"/>
      <c r="AC25" s="2"/>
      <c r="AD25" s="2"/>
    </row>
    <row r="26" spans="1:32" x14ac:dyDescent="0.25">
      <c r="A26" s="8"/>
      <c r="B26" s="37" t="s">
        <v>51</v>
      </c>
      <c r="C26" s="6">
        <v>0</v>
      </c>
      <c r="D26" s="6">
        <v>0</v>
      </c>
      <c r="E26" s="6">
        <v>0</v>
      </c>
      <c r="F26" s="6">
        <v>0</v>
      </c>
      <c r="G26" s="69">
        <f t="shared" si="25"/>
        <v>0</v>
      </c>
      <c r="H26" s="6">
        <f>SUM('KPI_FY 24-25'!H28,'KPI_FY 24-25'!AD28,'KPI_FY 24-25'!AZ28,'KPI_FY 24-25'!BV28,'KPI_FY 24-25'!CR28,'KPI_FY 24-25'!DN28,'KPI_FY 24-25'!EJ28,'KPI_FY 24-25'!FF28,'KPI_FY 24-25'!GB28,'KPI_FY 24-25'!GX28,'KPI_FY 24-25'!HT28,'KPI_FY 24-25'!IP28)</f>
        <v>8760</v>
      </c>
      <c r="I26" s="69">
        <f t="shared" si="26"/>
        <v>1</v>
      </c>
      <c r="J26" s="6">
        <f>SUM('KPI_FY 24-25'!J28,'KPI_FY 24-25'!AF28,'KPI_FY 24-25'!BB28,'KPI_FY 24-25'!BX28,'KPI_FY 24-25'!CT28,'KPI_FY 24-25'!DP28,'KPI_FY 24-25'!EL28,'KPI_FY 24-25'!FH28,'KPI_FY 24-25'!GD28,'KPI_FY 24-25'!GZ28,'KPI_FY 24-25'!HV28,'KPI_FY 24-25'!IR28)</f>
        <v>0</v>
      </c>
      <c r="K26" s="69">
        <f t="shared" si="27"/>
        <v>0</v>
      </c>
      <c r="L26" s="8">
        <f>SUM('KPI_FY 24-25'!L28,'KPI_FY 24-25'!AH28,'KPI_FY 24-25'!BD28,'KPI_FY 24-25'!BZ28,'KPI_FY 24-25'!CV28,'KPI_FY 24-25'!DR28,'KPI_FY 24-25'!EN28,'KPI_FY 24-25'!FJ28,'KPI_FY 24-25'!GF28,'KPI_FY 24-25'!HB28,'KPI_FY 24-25'!HX28,'KPI_FY 24-25'!IT28)</f>
        <v>0</v>
      </c>
      <c r="M26" s="69">
        <f t="shared" si="28"/>
        <v>0</v>
      </c>
      <c r="N26" s="69">
        <f t="shared" si="21"/>
        <v>0</v>
      </c>
      <c r="O26" s="15">
        <v>96</v>
      </c>
      <c r="P26" s="149">
        <f t="shared" si="22"/>
        <v>0</v>
      </c>
      <c r="Q26" s="69">
        <f t="shared" si="23"/>
        <v>0</v>
      </c>
      <c r="R26" s="69">
        <f t="shared" si="29"/>
        <v>0</v>
      </c>
      <c r="S26" s="134">
        <f>SUM('KPI_FY 24-25'!T28,'KPI_FY 24-25'!AP28,'KPI_FY 24-25'!BL28,'KPI_FY 24-25'!CH28,'KPI_FY 24-25'!DD28,'KPI_FY 24-25'!DZ28,'KPI_FY 24-25'!EV28,'KPI_FY 24-25'!FR28,'KPI_FY 24-25'!GN28,'KPI_FY 24-25'!HJ28,'KPI_FY 24-25'!IF28,'KPI_FY 24-25'!JB28)</f>
        <v>0</v>
      </c>
      <c r="T26" s="8">
        <v>96</v>
      </c>
      <c r="U26" s="150">
        <f t="shared" si="24"/>
        <v>1</v>
      </c>
      <c r="W26" s="64"/>
      <c r="X26" s="15"/>
      <c r="Y26" s="15"/>
      <c r="AB26" s="5"/>
      <c r="AC26" s="72"/>
      <c r="AD26" s="72"/>
    </row>
    <row r="27" spans="1:32" x14ac:dyDescent="0.25">
      <c r="A27" s="74"/>
      <c r="B27" s="37" t="s">
        <v>52</v>
      </c>
      <c r="C27" s="6">
        <v>3232</v>
      </c>
      <c r="D27" s="6">
        <v>1326.6</v>
      </c>
      <c r="E27" s="6">
        <v>1905.4</v>
      </c>
      <c r="F27" s="6">
        <v>5477.4</v>
      </c>
      <c r="G27" s="69">
        <f t="shared" si="25"/>
        <v>0.62527397260273965</v>
      </c>
      <c r="H27" s="6">
        <f>SUM('KPI_FY 24-25'!H29,'KPI_FY 24-25'!AD29,'KPI_FY 24-25'!AZ29,'KPI_FY 24-25'!BV29,'KPI_FY 24-25'!CR29,'KPI_FY 24-25'!DN29,'KPI_FY 24-25'!EJ29,'KPI_FY 24-25'!FF29,'KPI_FY 24-25'!GB29,'KPI_FY 24-25'!GX29,'KPI_FY 24-25'!HT29,'KPI_FY 24-25'!IP29)</f>
        <v>0</v>
      </c>
      <c r="I27" s="69">
        <f t="shared" si="26"/>
        <v>0</v>
      </c>
      <c r="J27" s="6">
        <f>SUM('KPI_FY 24-25'!J29,'KPI_FY 24-25'!AF29,'KPI_FY 24-25'!BB29,'KPI_FY 24-25'!BX29,'KPI_FY 24-25'!CT29,'KPI_FY 24-25'!DP29,'KPI_FY 24-25'!EL29,'KPI_FY 24-25'!FH29,'KPI_FY 24-25'!GD29,'KPI_FY 24-25'!GZ29,'KPI_FY 24-25'!HV29,'KPI_FY 24-25'!IR29)</f>
        <v>50.6</v>
      </c>
      <c r="K27" s="69">
        <f t="shared" si="27"/>
        <v>5.776255707762557E-3</v>
      </c>
      <c r="L27" s="8">
        <f>SUM('KPI_FY 24-25'!L29,'KPI_FY 24-25'!AH29,'KPI_FY 24-25'!BD29,'KPI_FY 24-25'!BZ29,'KPI_FY 24-25'!CV29,'KPI_FY 24-25'!DR29,'KPI_FY 24-25'!EN29,'KPI_FY 24-25'!FJ29,'KPI_FY 24-25'!GF29,'KPI_FY 24-25'!HB29,'KPI_FY 24-25'!HX29,'KPI_FY 24-25'!IT29)</f>
        <v>0</v>
      </c>
      <c r="M27" s="69">
        <f t="shared" si="28"/>
        <v>0.36894977168949772</v>
      </c>
      <c r="N27" s="69">
        <f t="shared" si="21"/>
        <v>0.36894977168949772</v>
      </c>
      <c r="O27" s="15">
        <v>50</v>
      </c>
      <c r="P27" s="149">
        <f t="shared" si="22"/>
        <v>0.80502645502645498</v>
      </c>
      <c r="Q27" s="69">
        <f t="shared" si="23"/>
        <v>9.5251141552511409E-2</v>
      </c>
      <c r="R27" s="69">
        <f t="shared" si="29"/>
        <v>0</v>
      </c>
      <c r="S27" s="137">
        <f>SUM('KPI_FY 24-25'!T29,'KPI_FY 24-25'!AP29,'KPI_FY 24-25'!BL29,'KPI_FY 24-25'!CH29,'KPI_FY 24-25'!DD29,'KPI_FY 24-25'!DZ29,'KPI_FY 24-25'!EV29,'KPI_FY 24-25'!FR29,'KPI_FY 24-25'!GN29,'KPI_FY 24-25'!HJ29,'KPI_FY 24-25'!IF29,'KPI_FY 24-25'!JB29)</f>
        <v>41720</v>
      </c>
      <c r="T27" s="8">
        <v>50</v>
      </c>
      <c r="U27" s="150">
        <f t="shared" si="24"/>
        <v>0.99999999999999989</v>
      </c>
      <c r="W27" s="64"/>
      <c r="X27" s="15"/>
      <c r="Y27" s="15"/>
      <c r="AB27" s="5"/>
      <c r="AC27" s="72"/>
      <c r="AD27" s="72"/>
    </row>
    <row r="28" spans="1:32" x14ac:dyDescent="0.25">
      <c r="A28" s="8"/>
      <c r="B28" s="37" t="s">
        <v>53</v>
      </c>
      <c r="C28" s="6">
        <v>1386.4</v>
      </c>
      <c r="D28" s="6">
        <v>699.10000000000014</v>
      </c>
      <c r="E28" s="6">
        <v>687.3</v>
      </c>
      <c r="F28" s="6">
        <v>3065.3</v>
      </c>
      <c r="G28" s="69">
        <f t="shared" si="25"/>
        <v>0.34992009132420093</v>
      </c>
      <c r="H28" s="6">
        <f>SUM('KPI_FY 24-25'!H30,'KPI_FY 24-25'!AD30,'KPI_FY 24-25'!AZ30,'KPI_FY 24-25'!BV30,'KPI_FY 24-25'!CR30,'KPI_FY 24-25'!DN30,'KPI_FY 24-25'!EJ30,'KPI_FY 24-25'!FF30,'KPI_FY 24-25'!GB30,'KPI_FY 24-25'!GX30,'KPI_FY 24-25'!HT30,'KPI_FY 24-25'!IP30)</f>
        <v>4288.5</v>
      </c>
      <c r="I28" s="69">
        <f t="shared" si="26"/>
        <v>0.48955479452054795</v>
      </c>
      <c r="J28" s="6">
        <f>SUM('KPI_FY 24-25'!J30,'KPI_FY 24-25'!AF30,'KPI_FY 24-25'!BB30,'KPI_FY 24-25'!BX30,'KPI_FY 24-25'!CT30,'KPI_FY 24-25'!DP30,'KPI_FY 24-25'!EL30,'KPI_FY 24-25'!FH30,'KPI_FY 24-25'!GD30,'KPI_FY 24-25'!GZ30,'KPI_FY 24-25'!HV30,'KPI_FY 24-25'!IR30)</f>
        <v>19.8</v>
      </c>
      <c r="K28" s="69">
        <f t="shared" si="27"/>
        <v>2.2602739726027398E-3</v>
      </c>
      <c r="L28" s="8">
        <f>SUM('KPI_FY 24-25'!L30,'KPI_FY 24-25'!AH30,'KPI_FY 24-25'!BD30,'KPI_FY 24-25'!BZ30,'KPI_FY 24-25'!CV30,'KPI_FY 24-25'!DR30,'KPI_FY 24-25'!EN30,'KPI_FY 24-25'!FJ30,'KPI_FY 24-25'!GF30,'KPI_FY 24-25'!HB30,'KPI_FY 24-25'!HX30,'KPI_FY 24-25'!IT30)</f>
        <v>0</v>
      </c>
      <c r="M28" s="69">
        <f t="shared" si="28"/>
        <v>0.15826484018264841</v>
      </c>
      <c r="N28" s="69">
        <f t="shared" si="21"/>
        <v>0.15826484018264841</v>
      </c>
      <c r="O28" s="15">
        <v>50</v>
      </c>
      <c r="P28" s="149">
        <f t="shared" si="22"/>
        <v>0.8142864732759536</v>
      </c>
      <c r="Q28" s="69">
        <f t="shared" si="23"/>
        <v>5.2009132420091322E-2</v>
      </c>
      <c r="R28" s="69">
        <f t="shared" si="29"/>
        <v>0</v>
      </c>
      <c r="S28" s="137">
        <f>SUM('KPI_FY 24-25'!T30,'KPI_FY 24-25'!AP30,'KPI_FY 24-25'!BL30,'KPI_FY 24-25'!CH30,'KPI_FY 24-25'!DD30,'KPI_FY 24-25'!DZ30,'KPI_FY 24-25'!EV30,'KPI_FY 24-25'!FR30,'KPI_FY 24-25'!GN30,'KPI_FY 24-25'!HJ30,'KPI_FY 24-25'!IF30,'KPI_FY 24-25'!JB30)</f>
        <v>22780</v>
      </c>
      <c r="T28" s="8">
        <v>50</v>
      </c>
      <c r="U28" s="150">
        <f t="shared" si="24"/>
        <v>1</v>
      </c>
      <c r="W28" s="64"/>
      <c r="X28" s="15"/>
      <c r="Y28" s="15"/>
      <c r="AB28" s="5"/>
      <c r="AC28" s="72"/>
      <c r="AD28" s="72"/>
    </row>
    <row r="29" spans="1:32" x14ac:dyDescent="0.25">
      <c r="A29" s="8"/>
      <c r="B29" s="37" t="s">
        <v>54</v>
      </c>
      <c r="C29" s="6">
        <v>4</v>
      </c>
      <c r="D29" s="6">
        <v>0</v>
      </c>
      <c r="E29" s="6">
        <v>4</v>
      </c>
      <c r="F29" s="6">
        <v>0</v>
      </c>
      <c r="G29" s="69">
        <f t="shared" si="25"/>
        <v>0</v>
      </c>
      <c r="H29" s="6">
        <f>SUM('KPI_FY 24-25'!H31,'KPI_FY 24-25'!AD31,'KPI_FY 24-25'!AZ31,'KPI_FY 24-25'!BV31,'KPI_FY 24-25'!CR31,'KPI_FY 24-25'!DN31,'KPI_FY 24-25'!EJ31,'KPI_FY 24-25'!FF31,'KPI_FY 24-25'!GB31,'KPI_FY 24-25'!GX31,'KPI_FY 24-25'!HT31,'KPI_FY 24-25'!IP31)</f>
        <v>8756</v>
      </c>
      <c r="I29" s="69">
        <f t="shared" si="26"/>
        <v>0.99954337899543377</v>
      </c>
      <c r="J29" s="6">
        <f>SUM('KPI_FY 24-25'!J31,'KPI_FY 24-25'!AF31,'KPI_FY 24-25'!BB31,'KPI_FY 24-25'!BX31,'KPI_FY 24-25'!CT31,'KPI_FY 24-25'!DP31,'KPI_FY 24-25'!EL31,'KPI_FY 24-25'!FH31,'KPI_FY 24-25'!GD31,'KPI_FY 24-25'!GZ31,'KPI_FY 24-25'!HV31,'KPI_FY 24-25'!IR31)</f>
        <v>0</v>
      </c>
      <c r="K29" s="69">
        <f t="shared" si="27"/>
        <v>0</v>
      </c>
      <c r="L29" s="8">
        <f>SUM('KPI_FY 24-25'!L31,'KPI_FY 24-25'!AH31,'KPI_FY 24-25'!BD31,'KPI_FY 24-25'!BZ31,'KPI_FY 24-25'!CV31,'KPI_FY 24-25'!DR31,'KPI_FY 24-25'!EN31,'KPI_FY 24-25'!FJ31,'KPI_FY 24-25'!GF31,'KPI_FY 24-25'!HB31,'KPI_FY 24-25'!HX31,'KPI_FY 24-25'!IT31)</f>
        <v>0</v>
      </c>
      <c r="M29" s="69">
        <f t="shared" si="28"/>
        <v>4.5662100456621003E-4</v>
      </c>
      <c r="N29" s="69">
        <f t="shared" si="21"/>
        <v>4.5662100456621003E-4</v>
      </c>
      <c r="O29" s="15">
        <v>50</v>
      </c>
      <c r="P29" s="149">
        <f t="shared" si="22"/>
        <v>0</v>
      </c>
      <c r="Q29" s="69">
        <f t="shared" si="23"/>
        <v>0</v>
      </c>
      <c r="R29" s="69">
        <f t="shared" si="29"/>
        <v>0</v>
      </c>
      <c r="S29" s="134">
        <f>SUM('KPI_FY 24-25'!T31,'KPI_FY 24-25'!AP31,'KPI_FY 24-25'!BL31,'KPI_FY 24-25'!CH31,'KPI_FY 24-25'!DD31,'KPI_FY 24-25'!DZ31,'KPI_FY 24-25'!EV31,'KPI_FY 24-25'!FR31,'KPI_FY 24-25'!GN31,'KPI_FY 24-25'!HJ31,'KPI_FY 24-25'!IF31,'KPI_FY 24-25'!JB31)</f>
        <v>0</v>
      </c>
      <c r="T29" s="8">
        <v>50</v>
      </c>
      <c r="U29" s="150">
        <f t="shared" si="24"/>
        <v>1</v>
      </c>
      <c r="W29" s="64"/>
      <c r="X29" s="15"/>
      <c r="Y29" s="15"/>
      <c r="AB29" s="5"/>
      <c r="AC29" s="72"/>
      <c r="AD29" s="72"/>
    </row>
    <row r="30" spans="1:32" x14ac:dyDescent="0.25">
      <c r="A30" s="8"/>
      <c r="B30" s="37" t="s">
        <v>55</v>
      </c>
      <c r="C30" s="6">
        <v>5430.5</v>
      </c>
      <c r="D30" s="6">
        <v>2233.1</v>
      </c>
      <c r="E30" s="6">
        <v>3197.4</v>
      </c>
      <c r="F30" s="6">
        <v>3141.1</v>
      </c>
      <c r="G30" s="69">
        <f t="shared" si="25"/>
        <v>0.35857305936073058</v>
      </c>
      <c r="H30" s="6">
        <f>SUM('KPI_FY 24-25'!H32,'KPI_FY 24-25'!AD32,'KPI_FY 24-25'!AZ32,'KPI_FY 24-25'!BV32,'KPI_FY 24-25'!CR32,'KPI_FY 24-25'!DN32,'KPI_FY 24-25'!EJ32,'KPI_FY 24-25'!FF32,'KPI_FY 24-25'!GB32,'KPI_FY 24-25'!GX32,'KPI_FY 24-25'!HT32,'KPI_FY 24-25'!IP32)</f>
        <v>105.6</v>
      </c>
      <c r="I30" s="69">
        <f t="shared" si="26"/>
        <v>1.2054794520547944E-2</v>
      </c>
      <c r="J30" s="6">
        <f>SUM('KPI_FY 24-25'!J32,'KPI_FY 24-25'!AF32,'KPI_FY 24-25'!BB32,'KPI_FY 24-25'!BX32,'KPI_FY 24-25'!CT32,'KPI_FY 24-25'!DP32,'KPI_FY 24-25'!EL32,'KPI_FY 24-25'!FH32,'KPI_FY 24-25'!GD32,'KPI_FY 24-25'!GZ32,'KPI_FY 24-25'!HV32,'KPI_FY 24-25'!IR32)</f>
        <v>82.800000000000011</v>
      </c>
      <c r="K30" s="69">
        <f t="shared" si="27"/>
        <v>9.4520547945205497E-3</v>
      </c>
      <c r="L30" s="8">
        <f>SUM('KPI_FY 24-25'!L32,'KPI_FY 24-25'!AH32,'KPI_FY 24-25'!BD32,'KPI_FY 24-25'!BZ32,'KPI_FY 24-25'!CV32,'KPI_FY 24-25'!DR32,'KPI_FY 24-25'!EN32,'KPI_FY 24-25'!FJ32,'KPI_FY 24-25'!GF32,'KPI_FY 24-25'!HB32,'KPI_FY 24-25'!HX32,'KPI_FY 24-25'!IT32)</f>
        <v>0</v>
      </c>
      <c r="M30" s="69">
        <f t="shared" si="28"/>
        <v>0.61992009132420089</v>
      </c>
      <c r="N30" s="69">
        <f t="shared" si="21"/>
        <v>0.61992009132420089</v>
      </c>
      <c r="O30" s="15">
        <v>50</v>
      </c>
      <c r="P30" s="149">
        <f t="shared" si="22"/>
        <v>0.58447768970265346</v>
      </c>
      <c r="Q30" s="69">
        <f t="shared" si="23"/>
        <v>0.1896392694063927</v>
      </c>
      <c r="R30" s="69">
        <f t="shared" si="29"/>
        <v>0</v>
      </c>
      <c r="S30" s="137">
        <f>SUM('KPI_FY 24-25'!T32,'KPI_FY 24-25'!AP32,'KPI_FY 24-25'!BL32,'KPI_FY 24-25'!CH32,'KPI_FY 24-25'!DD32,'KPI_FY 24-25'!DZ32,'KPI_FY 24-25'!EV32,'KPI_FY 24-25'!FR32,'KPI_FY 24-25'!GN32,'KPI_FY 24-25'!HJ32,'KPI_FY 24-25'!IF32,'KPI_FY 24-25'!JB32)</f>
        <v>83062</v>
      </c>
      <c r="T30" s="8">
        <v>50</v>
      </c>
      <c r="U30" s="150">
        <f t="shared" si="24"/>
        <v>1</v>
      </c>
      <c r="W30" s="64"/>
      <c r="X30" s="15"/>
      <c r="Y30" s="15"/>
      <c r="AB30" s="5"/>
      <c r="AC30" s="72"/>
      <c r="AD30" s="72"/>
    </row>
    <row r="31" spans="1:32" x14ac:dyDescent="0.25">
      <c r="A31" s="8"/>
      <c r="B31" s="190" t="s">
        <v>39</v>
      </c>
      <c r="C31" s="29">
        <f>SUM(C21:C30)</f>
        <v>37892.600000000006</v>
      </c>
      <c r="D31" s="29">
        <f t="shared" ref="D31:L31" si="30">SUM(D21:D30)</f>
        <v>19252.8</v>
      </c>
      <c r="E31" s="29">
        <f t="shared" si="30"/>
        <v>18639.8</v>
      </c>
      <c r="F31" s="29">
        <f t="shared" si="30"/>
        <v>18418.3</v>
      </c>
      <c r="G31" s="79">
        <f>(G21*$O$21+G22*$O$22+G23*$O$23+G24*$O$24+G25*$O$25+G26*$O$26+G27*$O$27+G28*$O$28+G29*$O$29+G30*$O$30)/$O$31</f>
        <v>0.22617599191657412</v>
      </c>
      <c r="H31" s="29">
        <f t="shared" si="30"/>
        <v>31083</v>
      </c>
      <c r="I31" s="79">
        <f>(I21*$O$21+I22*$O$22+I23*$O$23+I24*$O$24+I25*$O$25+I26*$O$26+I27*$O$27+I28*$O$28+I29*$O$29+I30*$O$30)/$O$31</f>
        <v>0.37738916142169571</v>
      </c>
      <c r="J31" s="29">
        <f t="shared" ref="J31" si="31">SUM(J21:J30)</f>
        <v>206.10000000000002</v>
      </c>
      <c r="K31" s="79">
        <f>(K21*$O$21+K22*$O$22+K23*$O$23+K24*$O$24+K25*$O$25+K26*$O$26+K27*$O$27+K28*$O$28+K29*$O$29+K30*$O$30)/$O$31</f>
        <v>2.0740389361964704E-3</v>
      </c>
      <c r="L31" s="29">
        <f t="shared" si="30"/>
        <v>0</v>
      </c>
      <c r="M31" s="79">
        <f>(M21*$O$21+M22*$O$22+M23*$O$23+M24*$O$24+M25*$O$25+M26*$O$26+M27*$O$27+M28*$O$28+M29*$O$29+M30*$O$30)/$O$31</f>
        <v>0.39436080772553384</v>
      </c>
      <c r="N31" s="209">
        <f>(N21*$O$21+N22*$O$22+N23*$O$23+N24*$O$24+N25*$O$25+N26*$O$26+N27*$O$27+N28*$O$28+N29*$O$29+N30*$O$30)/$O$31</f>
        <v>0.39436080772553384</v>
      </c>
      <c r="O31" s="31">
        <f>SUM(O21:O30)</f>
        <v>592</v>
      </c>
      <c r="P31" s="79">
        <f t="shared" ref="P31:R31" si="32">(P21*$O$21+P22*$O$22+P23*$O$23+P24*$O$24+P25*$O$25+P26*$O$26+P27*$O$27+P28*$O$28+P29*$O$29+P30*$O$30)/$O$31</f>
        <v>0.32666012043236359</v>
      </c>
      <c r="Q31" s="79">
        <f t="shared" si="32"/>
        <v>0.12992853727014686</v>
      </c>
      <c r="R31" s="79">
        <f t="shared" si="32"/>
        <v>0</v>
      </c>
      <c r="S31" s="188">
        <f>SUM(S21:S30)</f>
        <v>673799</v>
      </c>
      <c r="T31" s="29">
        <f>SUM(T21:T30)</f>
        <v>592</v>
      </c>
      <c r="U31" s="151"/>
      <c r="W31" s="64"/>
      <c r="X31" s="15"/>
      <c r="Y31" s="15"/>
      <c r="AB31" s="5"/>
      <c r="AC31" s="72"/>
      <c r="AD31" s="72"/>
    </row>
    <row r="32" spans="1:32" x14ac:dyDescent="0.25">
      <c r="A32" s="16" t="s">
        <v>40</v>
      </c>
      <c r="B32" s="37" t="s">
        <v>47</v>
      </c>
      <c r="C32" s="8">
        <f>SUM('KPI_FY 24-25'!C34,'KPI_FY 24-25'!Y34,'KPI_FY 24-25'!AU34,'KPI_FY 24-25'!BQ34,'KPI_FY 24-25'!CM34,'KPI_FY 24-25'!DI34,'KPI_FY 24-25'!EE34,'KPI_FY 24-25'!FA34,'KPI_FY 24-25'!FW34,'KPI_FY 24-25'!GS34,'KPI_FY 24-25'!HO34,'KPI_FY 24-25'!IK34)</f>
        <v>7166</v>
      </c>
      <c r="D32" s="8">
        <f>SUM('KPI_FY 24-25'!D34,'KPI_FY 24-25'!Z34,'KPI_FY 24-25'!AV34,'KPI_FY 24-25'!BR34,'KPI_FY 24-25'!CN34,'KPI_FY 24-25'!DJ34,'KPI_FY 24-25'!EF34,'KPI_FY 24-25'!FB34,'KPI_FY 24-25'!FX34,'KPI_FY 24-25'!GT34,'KPI_FY 24-25'!HP34,'KPI_FY 24-25'!IL34)</f>
        <v>1670.6000000000001</v>
      </c>
      <c r="E32" s="8">
        <f>SUM('KPI_FY 24-25'!E34,'KPI_FY 24-25'!AA34,'KPI_FY 24-25'!AW34,'KPI_FY 24-25'!BS34,'KPI_FY 24-25'!CO34,'KPI_FY 24-25'!DK34,'KPI_FY 24-25'!EG34,'KPI_FY 24-25'!FC34,'KPI_FY 24-25'!FY34,'KPI_FY 24-25'!GU34,'KPI_FY 24-25'!HQ34,'KPI_FY 24-25'!IM34)</f>
        <v>5495.4</v>
      </c>
      <c r="F32" s="8">
        <f>SUM('KPI_FY 24-25'!F34,'KPI_FY 24-25'!AB34,'KPI_FY 24-25'!AX34,'KPI_FY 24-25'!BT34,'KPI_FY 24-25'!CP34,'KPI_FY 24-25'!DL34,'KPI_FY 24-25'!EH34,'KPI_FY 24-25'!FD34,'KPI_FY 24-25'!FZ34,'KPI_FY 24-25'!GV34,'KPI_FY 24-25'!HR34,'KPI_FY 24-25'!IN34)</f>
        <v>1594</v>
      </c>
      <c r="G32" s="69">
        <f>(F32/$B$2)</f>
        <v>0.1819634703196347</v>
      </c>
      <c r="H32" s="8">
        <f>SUM('KPI_FY 24-25'!H34,'KPI_FY 24-25'!AD34,'KPI_FY 24-25'!AZ34,'KPI_FY 24-25'!BV34,'KPI_FY 24-25'!CR34,'KPI_FY 24-25'!DN34,'KPI_FY 24-25'!EJ34,'KPI_FY 24-25'!FF34,'KPI_FY 24-25'!GB34,'KPI_FY 24-25'!GX34,'KPI_FY 24-25'!HT34,'KPI_FY 24-25'!IP34)</f>
        <v>0</v>
      </c>
      <c r="I32" s="69">
        <f>(H32/$B$2)</f>
        <v>0</v>
      </c>
      <c r="J32" s="6">
        <f>SUM('KPI_FY 24-25'!J34,'KPI_FY 24-25'!AF34,'KPI_FY 24-25'!BB34,'KPI_FY 24-25'!BX34,'KPI_FY 24-25'!CT34,'KPI_FY 24-25'!DP34,'KPI_FY 24-25'!EL34,'KPI_FY 24-25'!FH34,'KPI_FY 24-25'!GD34,'KPI_FY 24-25'!GZ34,'KPI_FY 24-25'!HV34,'KPI_FY 24-25'!IR34)</f>
        <v>0</v>
      </c>
      <c r="K32" s="69">
        <f>(J32/$B$2)</f>
        <v>0</v>
      </c>
      <c r="L32" s="8">
        <f>SUM('KPI_FY 24-25'!L34,'KPI_FY 24-25'!AH34,'KPI_FY 24-25'!BD34,'KPI_FY 24-25'!BZ34,'KPI_FY 24-25'!CV34,'KPI_FY 24-25'!DR34,'KPI_FY 24-25'!EN34,'KPI_FY 24-25'!FJ34,'KPI_FY 24-25'!GF34,'KPI_FY 24-25'!HB34,'KPI_FY 24-25'!HX34,'KPI_FY 24-25'!IT34)</f>
        <v>0</v>
      </c>
      <c r="M32" s="69">
        <f>(C32/$B$2)</f>
        <v>0.81803652968036533</v>
      </c>
      <c r="N32" s="69">
        <f>((C32-L32)/$B$2)</f>
        <v>0.81803652968036533</v>
      </c>
      <c r="O32" s="15">
        <v>21</v>
      </c>
      <c r="P32" s="149">
        <f>IF((AND(D32=0,F32=0)),0,(F32+L32)/(D32+F32+L32))</f>
        <v>0.48826808797402432</v>
      </c>
      <c r="Q32" s="69">
        <f>(S32/($B$2*O32))</f>
        <v>0.15600674059578168</v>
      </c>
      <c r="R32" s="69">
        <f>(L32/$B$2)</f>
        <v>0</v>
      </c>
      <c r="S32" s="137">
        <f>SUM('KPI_FY 24-25'!T34,'KPI_FY 24-25'!AP34,'KPI_FY 24-25'!BL34,'KPI_FY 24-25'!CH34,'KPI_FY 24-25'!DD34,'KPI_FY 24-25'!DZ34,'KPI_FY 24-25'!EV34,'KPI_FY 24-25'!FR34,'KPI_FY 24-25'!GN34,'KPI_FY 24-25'!HJ34,'KPI_FY 24-25'!IF34,'KPI_FY 24-25'!JB34)</f>
        <v>28699</v>
      </c>
      <c r="T32" s="8">
        <v>21</v>
      </c>
      <c r="U32" s="150">
        <f>SUM(G32,I32,K32,R32,N32)</f>
        <v>1</v>
      </c>
      <c r="X32" s="8"/>
      <c r="Y32" s="15"/>
      <c r="AC32" s="72"/>
      <c r="AD32" s="72"/>
    </row>
    <row r="33" spans="1:25" x14ac:dyDescent="0.25">
      <c r="A33" s="16" t="s">
        <v>41</v>
      </c>
      <c r="B33" s="37" t="s">
        <v>48</v>
      </c>
      <c r="C33" s="8">
        <f>SUM('KPI_FY 24-25'!C35,'KPI_FY 24-25'!Y35,'KPI_FY 24-25'!AU35,'KPI_FY 24-25'!BQ35,'KPI_FY 24-25'!CM35,'KPI_FY 24-25'!DI35,'KPI_FY 24-25'!EE35,'KPI_FY 24-25'!FA35,'KPI_FY 24-25'!FW35,'KPI_FY 24-25'!GS35,'KPI_FY 24-25'!HO35,'KPI_FY 24-25'!IK35)</f>
        <v>8708</v>
      </c>
      <c r="D33" s="8">
        <f>SUM('KPI_FY 24-25'!D35,'KPI_FY 24-25'!Z35,'KPI_FY 24-25'!AV35,'KPI_FY 24-25'!BR35,'KPI_FY 24-25'!CN35,'KPI_FY 24-25'!DJ35,'KPI_FY 24-25'!EF35,'KPI_FY 24-25'!FB35,'KPI_FY 24-25'!FX35,'KPI_FY 24-25'!GT35,'KPI_FY 24-25'!HP35,'KPI_FY 24-25'!IL35)</f>
        <v>2243.8999999999996</v>
      </c>
      <c r="E33" s="8">
        <f>SUM('KPI_FY 24-25'!E35,'KPI_FY 24-25'!AA35,'KPI_FY 24-25'!AW35,'KPI_FY 24-25'!BS35,'KPI_FY 24-25'!CO35,'KPI_FY 24-25'!DK35,'KPI_FY 24-25'!EG35,'KPI_FY 24-25'!FC35,'KPI_FY 24-25'!FY35,'KPI_FY 24-25'!GU35,'KPI_FY 24-25'!HQ35,'KPI_FY 24-25'!IM35)</f>
        <v>6464.0999999999985</v>
      </c>
      <c r="F33" s="8">
        <f>SUM('KPI_FY 24-25'!F35,'KPI_FY 24-25'!AB35,'KPI_FY 24-25'!AX35,'KPI_FY 24-25'!BT35,'KPI_FY 24-25'!CP35,'KPI_FY 24-25'!DL35,'KPI_FY 24-25'!EH35,'KPI_FY 24-25'!FD35,'KPI_FY 24-25'!FZ35,'KPI_FY 24-25'!GV35,'KPI_FY 24-25'!HR35,'KPI_FY 24-25'!IN35)</f>
        <v>52</v>
      </c>
      <c r="G33" s="69">
        <f t="shared" ref="G33:G34" si="33">(F33/$B$2)</f>
        <v>5.9360730593607308E-3</v>
      </c>
      <c r="H33" s="8">
        <f>SUM('KPI_FY 24-25'!H35,'KPI_FY 24-25'!AD35,'KPI_FY 24-25'!AZ35,'KPI_FY 24-25'!BV35,'KPI_FY 24-25'!CR35,'KPI_FY 24-25'!DN35,'KPI_FY 24-25'!EJ35,'KPI_FY 24-25'!FF35,'KPI_FY 24-25'!GB35,'KPI_FY 24-25'!GX35,'KPI_FY 24-25'!HT35,'KPI_FY 24-25'!IP35)</f>
        <v>0</v>
      </c>
      <c r="I33" s="69">
        <f t="shared" ref="I33:I34" si="34">(H33/$B$2)</f>
        <v>0</v>
      </c>
      <c r="J33" s="6">
        <f>SUM('KPI_FY 24-25'!J35,'KPI_FY 24-25'!AF35,'KPI_FY 24-25'!BB35,'KPI_FY 24-25'!BX35,'KPI_FY 24-25'!CT35,'KPI_FY 24-25'!DP35,'KPI_FY 24-25'!EL35,'KPI_FY 24-25'!FH35,'KPI_FY 24-25'!GD35,'KPI_FY 24-25'!GZ35,'KPI_FY 24-25'!HV35,'KPI_FY 24-25'!IR35)</f>
        <v>0</v>
      </c>
      <c r="K33" s="69">
        <f t="shared" ref="K33:K34" si="35">(J33/$B$2)</f>
        <v>0</v>
      </c>
      <c r="L33" s="8">
        <f>SUM('KPI_FY 24-25'!L35,'KPI_FY 24-25'!AH35,'KPI_FY 24-25'!BD35,'KPI_FY 24-25'!BZ35,'KPI_FY 24-25'!CV35,'KPI_FY 24-25'!DR35,'KPI_FY 24-25'!EN35,'KPI_FY 24-25'!FJ35,'KPI_FY 24-25'!GF35,'KPI_FY 24-25'!HB35,'KPI_FY 24-25'!HX35,'KPI_FY 24-25'!IT35)</f>
        <v>0</v>
      </c>
      <c r="M33" s="69">
        <f>(C33/$B$2)</f>
        <v>0.99406392694063928</v>
      </c>
      <c r="N33" s="69">
        <f>((C33-L33)/$B$2)</f>
        <v>0.99406392694063928</v>
      </c>
      <c r="O33" s="15">
        <v>21</v>
      </c>
      <c r="P33" s="149">
        <f>IF((AND(D33=0,F33=0)),0,(F33+L33)/(D33+F33+L33))</f>
        <v>2.2649070081449545E-2</v>
      </c>
      <c r="Q33" s="69">
        <f>(S33/($B$2*O33))</f>
        <v>0.22513046314416177</v>
      </c>
      <c r="R33" s="69">
        <f t="shared" ref="R33:R34" si="36">(L33/$B$2)</f>
        <v>0</v>
      </c>
      <c r="S33" s="137">
        <f>SUM('KPI_FY 24-25'!T35,'KPI_FY 24-25'!AP35,'KPI_FY 24-25'!BL35,'KPI_FY 24-25'!CH35,'KPI_FY 24-25'!DD35,'KPI_FY 24-25'!DZ35,'KPI_FY 24-25'!EV35,'KPI_FY 24-25'!FR35,'KPI_FY 24-25'!GN35,'KPI_FY 24-25'!HJ35,'KPI_FY 24-25'!IF35,'KPI_FY 24-25'!JB35)</f>
        <v>41415</v>
      </c>
      <c r="T33" s="8">
        <v>21</v>
      </c>
      <c r="U33" s="150">
        <f>SUM(G33,I33,K33,R33,N33)</f>
        <v>1</v>
      </c>
    </row>
    <row r="34" spans="1:25" x14ac:dyDescent="0.25">
      <c r="A34" s="8"/>
      <c r="B34" s="37" t="s">
        <v>52</v>
      </c>
      <c r="C34" s="8">
        <f>SUM('KPI_FY 24-25'!C36,'KPI_FY 24-25'!Y36,'KPI_FY 24-25'!AU36,'KPI_FY 24-25'!BQ36,'KPI_FY 24-25'!CM36,'KPI_FY 24-25'!DI36,'KPI_FY 24-25'!EE36,'KPI_FY 24-25'!FA36,'KPI_FY 24-25'!FW36,'KPI_FY 24-25'!GS36,'KPI_FY 24-25'!HO36,'KPI_FY 24-25'!IK36)</f>
        <v>4881.7</v>
      </c>
      <c r="D34" s="8">
        <f>SUM('KPI_FY 24-25'!D36,'KPI_FY 24-25'!Z36,'KPI_FY 24-25'!AV36,'KPI_FY 24-25'!BR36,'KPI_FY 24-25'!CN36,'KPI_FY 24-25'!DJ36,'KPI_FY 24-25'!EF36,'KPI_FY 24-25'!FB36,'KPI_FY 24-25'!FX36,'KPI_FY 24-25'!GT36,'KPI_FY 24-25'!HP36,'KPI_FY 24-25'!IL36)</f>
        <v>1136.7000000000003</v>
      </c>
      <c r="E34" s="8">
        <f>SUM('KPI_FY 24-25'!E36,'KPI_FY 24-25'!AA36,'KPI_FY 24-25'!AW36,'KPI_FY 24-25'!BS36,'KPI_FY 24-25'!CO36,'KPI_FY 24-25'!DK36,'KPI_FY 24-25'!EG36,'KPI_FY 24-25'!FC36,'KPI_FY 24-25'!FY36,'KPI_FY 24-25'!GU36,'KPI_FY 24-25'!HQ36,'KPI_FY 24-25'!IM36)</f>
        <v>3744.9999999999995</v>
      </c>
      <c r="F34" s="8">
        <f>SUM('KPI_FY 24-25'!F36,'KPI_FY 24-25'!AB36,'KPI_FY 24-25'!AX36,'KPI_FY 24-25'!BT36,'KPI_FY 24-25'!CP36,'KPI_FY 24-25'!DL36,'KPI_FY 24-25'!EH36,'KPI_FY 24-25'!FD36,'KPI_FY 24-25'!FZ36,'KPI_FY 24-25'!GV36,'KPI_FY 24-25'!HR36,'KPI_FY 24-25'!IN36)</f>
        <v>3878.3</v>
      </c>
      <c r="G34" s="69">
        <f t="shared" si="33"/>
        <v>0.44272831050228312</v>
      </c>
      <c r="H34" s="8">
        <f>SUM('KPI_FY 24-25'!H36,'KPI_FY 24-25'!AD36,'KPI_FY 24-25'!AZ36,'KPI_FY 24-25'!BV36,'KPI_FY 24-25'!CR36,'KPI_FY 24-25'!DN36,'KPI_FY 24-25'!EJ36,'KPI_FY 24-25'!FF36,'KPI_FY 24-25'!GB36,'KPI_FY 24-25'!GX36,'KPI_FY 24-25'!HT36,'KPI_FY 24-25'!IP36)</f>
        <v>0</v>
      </c>
      <c r="I34" s="69">
        <f t="shared" si="34"/>
        <v>0</v>
      </c>
      <c r="J34" s="6">
        <f>SUM('KPI_FY 24-25'!J36,'KPI_FY 24-25'!AF36,'KPI_FY 24-25'!BB36,'KPI_FY 24-25'!BX36,'KPI_FY 24-25'!CT36,'KPI_FY 24-25'!DP36,'KPI_FY 24-25'!EL36,'KPI_FY 24-25'!FH36,'KPI_FY 24-25'!GD36,'KPI_FY 24-25'!GZ36,'KPI_FY 24-25'!HV36,'KPI_FY 24-25'!IR36)</f>
        <v>0</v>
      </c>
      <c r="K34" s="69">
        <f t="shared" si="35"/>
        <v>0</v>
      </c>
      <c r="L34" s="8">
        <f>SUM('KPI_FY 24-25'!L36,'KPI_FY 24-25'!AH36,'KPI_FY 24-25'!BD36,'KPI_FY 24-25'!BZ36,'KPI_FY 24-25'!CV36,'KPI_FY 24-25'!DR36,'KPI_FY 24-25'!EN36,'KPI_FY 24-25'!FJ36,'KPI_FY 24-25'!GF36,'KPI_FY 24-25'!HB36,'KPI_FY 24-25'!HX36,'KPI_FY 24-25'!IT36)</f>
        <v>0</v>
      </c>
      <c r="M34" s="69">
        <f>(C34/$B$2)</f>
        <v>0.55727168949771688</v>
      </c>
      <c r="N34" s="69">
        <f>((C34-L34)/$B$2)</f>
        <v>0.55727168949771688</v>
      </c>
      <c r="O34" s="15">
        <v>21</v>
      </c>
      <c r="P34" s="149">
        <f>IF((AND(D34=0,F34=0)),0,(F34+L34)/(D34+F34+L34))</f>
        <v>0.77333998005982052</v>
      </c>
      <c r="Q34" s="69">
        <f>(S34/($B$2*O34))</f>
        <v>0.10235920852359208</v>
      </c>
      <c r="R34" s="69">
        <f t="shared" si="36"/>
        <v>0</v>
      </c>
      <c r="S34" s="137">
        <f>SUM('KPI_FY 24-25'!T36,'KPI_FY 24-25'!AP36,'KPI_FY 24-25'!BL36,'KPI_FY 24-25'!CH36,'KPI_FY 24-25'!DD36,'KPI_FY 24-25'!DZ36,'KPI_FY 24-25'!EV36,'KPI_FY 24-25'!FR36,'KPI_FY 24-25'!GN36,'KPI_FY 24-25'!HJ36,'KPI_FY 24-25'!IF36,'KPI_FY 24-25'!JB36)</f>
        <v>18830</v>
      </c>
      <c r="T34" s="8">
        <v>21</v>
      </c>
      <c r="U34" s="150">
        <f>SUM(G34,I34,K34,R34,N34)</f>
        <v>1</v>
      </c>
      <c r="W34" s="64"/>
      <c r="Y34" s="6"/>
    </row>
    <row r="35" spans="1:25" x14ac:dyDescent="0.25">
      <c r="A35" s="8"/>
      <c r="B35" s="190" t="s">
        <v>39</v>
      </c>
      <c r="C35" s="29">
        <f>SUM(C32:C34)</f>
        <v>20755.7</v>
      </c>
      <c r="D35" s="29">
        <f t="shared" ref="D35:L35" si="37">SUM(D32:D34)</f>
        <v>5051.2000000000007</v>
      </c>
      <c r="E35" s="29">
        <f t="shared" si="37"/>
        <v>15704.499999999998</v>
      </c>
      <c r="F35" s="29">
        <f t="shared" si="37"/>
        <v>5524.3</v>
      </c>
      <c r="G35" s="79">
        <f>(G32*$O$32+G33*$O$33+G34*$O$34)/$O$35</f>
        <v>0.21020928462709285</v>
      </c>
      <c r="H35" s="29">
        <f t="shared" si="37"/>
        <v>0</v>
      </c>
      <c r="I35" s="79">
        <f>(I32*$O$32+I33*$O$33+I34*$O$34)/$O$35</f>
        <v>0</v>
      </c>
      <c r="J35" s="29">
        <f t="shared" ref="J35" si="38">SUM(J32:J34)</f>
        <v>0</v>
      </c>
      <c r="K35" s="79">
        <f>(K32*$O$32+K33*$O$33+K34*$O$34)/$O$35</f>
        <v>0</v>
      </c>
      <c r="L35" s="29">
        <f t="shared" si="37"/>
        <v>0</v>
      </c>
      <c r="M35" s="79">
        <f>(M32*$O$32+M33*$O$33+M34*$O$34)/$O$35</f>
        <v>0.78979071537290713</v>
      </c>
      <c r="N35" s="209">
        <f>(N32*$O$32+N33*$O$33+N34*$O$34)/$O$35</f>
        <v>0.78979071537290713</v>
      </c>
      <c r="O35" s="29">
        <f>SUM(O32:O34)</f>
        <v>63</v>
      </c>
      <c r="P35" s="79">
        <f t="shared" ref="P35:R35" si="39">(P32*$O$32+P33*$O$33+P34*$O$34)/$O$35</f>
        <v>0.4280857127050981</v>
      </c>
      <c r="Q35" s="79">
        <f t="shared" si="39"/>
        <v>0.16116547075451185</v>
      </c>
      <c r="R35" s="79">
        <f t="shared" si="39"/>
        <v>0</v>
      </c>
      <c r="S35" s="188">
        <f>SUM(S32:S34)</f>
        <v>88944</v>
      </c>
      <c r="T35" s="29">
        <f>SUM(T32:T34)</f>
        <v>63</v>
      </c>
      <c r="U35" s="151"/>
      <c r="V35" s="58"/>
      <c r="W35" s="64"/>
    </row>
    <row r="36" spans="1:25" x14ac:dyDescent="0.25">
      <c r="A36" s="16" t="s">
        <v>42</v>
      </c>
      <c r="B36" s="37" t="s">
        <v>47</v>
      </c>
      <c r="C36" s="8">
        <f>SUM('KPI_FY 24-25'!C38,'KPI_FY 24-25'!Y38,'KPI_FY 24-25'!AU38,'KPI_FY 24-25'!BQ38,'KPI_FY 24-25'!CM38,'KPI_FY 24-25'!DI38,'KPI_FY 24-25'!EE38,'KPI_FY 24-25'!FA38,'KPI_FY 24-25'!FW38,'KPI_FY 24-25'!GS38,'KPI_FY 24-25'!HO38,'KPI_FY 24-25'!IK38)</f>
        <v>24</v>
      </c>
      <c r="D36" s="8">
        <f>SUM('KPI_FY 24-25'!D38,'KPI_FY 24-25'!Z38,'KPI_FY 24-25'!AV38,'KPI_FY 24-25'!BR38,'KPI_FY 24-25'!CN38,'KPI_FY 24-25'!DJ38,'KPI_FY 24-25'!EF38,'KPI_FY 24-25'!FB38,'KPI_FY 24-25'!FX38,'KPI_FY 24-25'!GT38,'KPI_FY 24-25'!HP38,'KPI_FY 24-25'!IL38)</f>
        <v>0</v>
      </c>
      <c r="E36" s="8">
        <f>SUM('KPI_FY 24-25'!E38,'KPI_FY 24-25'!AA38,'KPI_FY 24-25'!AW38,'KPI_FY 24-25'!BS38,'KPI_FY 24-25'!CO38,'KPI_FY 24-25'!DK38,'KPI_FY 24-25'!EG38,'KPI_FY 24-25'!FC38,'KPI_FY 24-25'!FY38,'KPI_FY 24-25'!GU38,'KPI_FY 24-25'!HQ38,'KPI_FY 24-25'!IM38)</f>
        <v>24</v>
      </c>
      <c r="F36" s="8">
        <f>SUM('KPI_FY 24-25'!F38,'KPI_FY 24-25'!AB38,'KPI_FY 24-25'!AX38,'KPI_FY 24-25'!BT38,'KPI_FY 24-25'!CP38,'KPI_FY 24-25'!DL38,'KPI_FY 24-25'!EH38,'KPI_FY 24-25'!FD38,'KPI_FY 24-25'!FZ38,'KPI_FY 24-25'!GV38,'KPI_FY 24-25'!HR38,'KPI_FY 24-25'!IN38)</f>
        <v>8736</v>
      </c>
      <c r="G36" s="69">
        <f>(F36/$B$2)</f>
        <v>0.99726027397260275</v>
      </c>
      <c r="H36" s="8">
        <f>SUM('KPI_FY 24-25'!H38,'KPI_FY 24-25'!AD38,'KPI_FY 24-25'!AZ38,'KPI_FY 24-25'!BV38,'KPI_FY 24-25'!CR38,'KPI_FY 24-25'!DN38,'KPI_FY 24-25'!EJ38,'KPI_FY 24-25'!FF38,'KPI_FY 24-25'!GB38,'KPI_FY 24-25'!GX38,'KPI_FY 24-25'!HT38,'KPI_FY 24-25'!IP38)</f>
        <v>0</v>
      </c>
      <c r="I36" s="69">
        <f>(H36/$B$2)</f>
        <v>0</v>
      </c>
      <c r="J36" s="6">
        <f>SUM('KPI_FY 24-25'!J38,'KPI_FY 24-25'!AF38,'KPI_FY 24-25'!BB38,'KPI_FY 24-25'!BX38,'KPI_FY 24-25'!CT38,'KPI_FY 24-25'!DP38,'KPI_FY 24-25'!EL38,'KPI_FY 24-25'!FH38,'KPI_FY 24-25'!GD38,'KPI_FY 24-25'!GZ38,'KPI_FY 24-25'!HV38,'KPI_FY 24-25'!IR38)</f>
        <v>0</v>
      </c>
      <c r="K36" s="69">
        <f>(J36/$B$2)</f>
        <v>0</v>
      </c>
      <c r="L36" s="8">
        <f>SUM('KPI_FY 24-25'!L38,'KPI_FY 24-25'!AH38,'KPI_FY 24-25'!BD38,'KPI_FY 24-25'!BZ38,'KPI_FY 24-25'!CV38,'KPI_FY 24-25'!DR38,'KPI_FY 24-25'!EN38,'KPI_FY 24-25'!FJ38,'KPI_FY 24-25'!GF38,'KPI_FY 24-25'!HB38,'KPI_FY 24-25'!HX38,'KPI_FY 24-25'!IT38)</f>
        <v>0</v>
      </c>
      <c r="M36" s="69">
        <f>(C36/$B$2)</f>
        <v>2.7397260273972603E-3</v>
      </c>
      <c r="N36" s="69">
        <f>((C36-L36)/$B$2)</f>
        <v>2.7397260273972603E-3</v>
      </c>
      <c r="O36" s="15">
        <v>21</v>
      </c>
      <c r="P36" s="149">
        <f>IF((AND(D36=0,F36=0)),0,(F36+L36)/(D36+F36+L36))</f>
        <v>1</v>
      </c>
      <c r="Q36" s="69">
        <f>(S36/($B$2*O36))</f>
        <v>0</v>
      </c>
      <c r="R36" s="69">
        <f>(L36/$B$2)</f>
        <v>0</v>
      </c>
      <c r="S36" s="9">
        <f>SUM('KPI_FY 24-25'!T38,'KPI_FY 24-25'!AP38,'KPI_FY 24-25'!BL38,'KPI_FY 24-25'!CH38,'KPI_FY 24-25'!DD38,'KPI_FY 24-25'!DZ38,'KPI_FY 24-25'!EV38,'KPI_FY 24-25'!FR38,'KPI_FY 24-25'!GN38,'KPI_FY 24-25'!HJ38,'KPI_FY 24-25'!IF38,'KPI_FY 24-25'!JB38)</f>
        <v>0</v>
      </c>
      <c r="T36" s="8">
        <v>21</v>
      </c>
      <c r="U36" s="150">
        <f>SUM(G36,I36,K36,R36,N36)</f>
        <v>1</v>
      </c>
    </row>
    <row r="37" spans="1:25" x14ac:dyDescent="0.25">
      <c r="A37" s="16" t="s">
        <v>43</v>
      </c>
      <c r="B37" s="37" t="s">
        <v>48</v>
      </c>
      <c r="C37" s="8">
        <f>SUM('KPI_FY 24-25'!C39,'KPI_FY 24-25'!Y39,'KPI_FY 24-25'!AU39,'KPI_FY 24-25'!BQ39,'KPI_FY 24-25'!CM39,'KPI_FY 24-25'!DI39,'KPI_FY 24-25'!EE39,'KPI_FY 24-25'!FA39,'KPI_FY 24-25'!FW39,'KPI_FY 24-25'!GS39,'KPI_FY 24-25'!HO39,'KPI_FY 24-25'!IK39)</f>
        <v>142.90000000000006</v>
      </c>
      <c r="D37" s="8">
        <f>SUM('KPI_FY 24-25'!D39,'KPI_FY 24-25'!Z39,'KPI_FY 24-25'!AV39,'KPI_FY 24-25'!BR39,'KPI_FY 24-25'!CN39,'KPI_FY 24-25'!DJ39,'KPI_FY 24-25'!EF39,'KPI_FY 24-25'!FB39,'KPI_FY 24-25'!FX39,'KPI_FY 24-25'!GT39,'KPI_FY 24-25'!HP39,'KPI_FY 24-25'!IL39)</f>
        <v>109.20000000000002</v>
      </c>
      <c r="E37" s="8">
        <f>SUM('KPI_FY 24-25'!E39,'KPI_FY 24-25'!AA39,'KPI_FY 24-25'!AW39,'KPI_FY 24-25'!BS39,'KPI_FY 24-25'!CO39,'KPI_FY 24-25'!DK39,'KPI_FY 24-25'!EG39,'KPI_FY 24-25'!FC39,'KPI_FY 24-25'!FY39,'KPI_FY 24-25'!GU39,'KPI_FY 24-25'!HQ39,'KPI_FY 24-25'!IM39)</f>
        <v>33.700000000000003</v>
      </c>
      <c r="F37" s="8">
        <f>SUM('KPI_FY 24-25'!F39,'KPI_FY 24-25'!AB39,'KPI_FY 24-25'!AX39,'KPI_FY 24-25'!BT39,'KPI_FY 24-25'!CP39,'KPI_FY 24-25'!DL39,'KPI_FY 24-25'!EH39,'KPI_FY 24-25'!FD39,'KPI_FY 24-25'!FZ39,'KPI_FY 24-25'!GV39,'KPI_FY 24-25'!HR39,'KPI_FY 24-25'!IN39)</f>
        <v>8617.1</v>
      </c>
      <c r="G37" s="69">
        <f>(F37/$B$2)</f>
        <v>0.98368721461187214</v>
      </c>
      <c r="H37" s="8">
        <f>SUM('KPI_FY 24-25'!H39,'KPI_FY 24-25'!AD39,'KPI_FY 24-25'!AZ39,'KPI_FY 24-25'!BV39,'KPI_FY 24-25'!CR39,'KPI_FY 24-25'!DN39,'KPI_FY 24-25'!EJ39,'KPI_FY 24-25'!FF39,'KPI_FY 24-25'!GB39,'KPI_FY 24-25'!GX39,'KPI_FY 24-25'!HT39,'KPI_FY 24-25'!IP39)</f>
        <v>0</v>
      </c>
      <c r="I37" s="69">
        <f>(H37/$B$2)</f>
        <v>0</v>
      </c>
      <c r="J37" s="6">
        <f>SUM('KPI_FY 24-25'!J39,'KPI_FY 24-25'!AF39,'KPI_FY 24-25'!BB39,'KPI_FY 24-25'!BX39,'KPI_FY 24-25'!CT39,'KPI_FY 24-25'!DP39,'KPI_FY 24-25'!EL39,'KPI_FY 24-25'!FH39,'KPI_FY 24-25'!GD39,'KPI_FY 24-25'!GZ39,'KPI_FY 24-25'!HV39,'KPI_FY 24-25'!IR39)</f>
        <v>0</v>
      </c>
      <c r="K37" s="69">
        <f>(J37/$B$2)</f>
        <v>0</v>
      </c>
      <c r="L37" s="8">
        <f>SUM('KPI_FY 24-25'!L39,'KPI_FY 24-25'!AH39,'KPI_FY 24-25'!BD39,'KPI_FY 24-25'!BZ39,'KPI_FY 24-25'!CV39,'KPI_FY 24-25'!DR39,'KPI_FY 24-25'!EN39,'KPI_FY 24-25'!FJ39,'KPI_FY 24-25'!GF39,'KPI_FY 24-25'!HB39,'KPI_FY 24-25'!HX39,'KPI_FY 24-25'!IT39)</f>
        <v>0</v>
      </c>
      <c r="M37" s="69">
        <f>(C37/$B$2)</f>
        <v>1.6312785388127859E-2</v>
      </c>
      <c r="N37" s="69">
        <f>((C37-L37)/$B$2)</f>
        <v>1.6312785388127859E-2</v>
      </c>
      <c r="O37" s="15">
        <v>21</v>
      </c>
      <c r="P37" s="149">
        <f>IF((AND(D37=0,F37=0)),0,(F37+L37)/(D37+F37+L37))</f>
        <v>0.98748610522214442</v>
      </c>
      <c r="Q37" s="69">
        <f>(S37/($B$2*O37))</f>
        <v>9.6607958251793864E-3</v>
      </c>
      <c r="R37" s="69">
        <f>(L37/$B$2)</f>
        <v>0</v>
      </c>
      <c r="S37" s="138">
        <f>SUM('KPI_FY 24-25'!T39,'KPI_FY 24-25'!AP39,'KPI_FY 24-25'!BL39,'KPI_FY 24-25'!CH39,'KPI_FY 24-25'!DD39,'KPI_FY 24-25'!DZ39,'KPI_FY 24-25'!EV39,'KPI_FY 24-25'!FR39,'KPI_FY 24-25'!GN39,'KPI_FY 24-25'!HJ39,'KPI_FY 24-25'!IF39,'KPI_FY 24-25'!JB39)</f>
        <v>1777.2</v>
      </c>
      <c r="T37" s="8">
        <v>21</v>
      </c>
      <c r="U37" s="150">
        <f>SUM(G37,I37,K37,R37,N37)</f>
        <v>1</v>
      </c>
    </row>
    <row r="38" spans="1:25" ht="15.75" thickBot="1" x14ac:dyDescent="0.3">
      <c r="A38" s="16"/>
      <c r="B38" s="190" t="s">
        <v>39</v>
      </c>
      <c r="C38" s="29">
        <f>SUM(C36:C37)</f>
        <v>166.90000000000006</v>
      </c>
      <c r="D38" s="29">
        <f t="shared" ref="D38:F38" si="40">SUM(D36:D37)</f>
        <v>109.20000000000002</v>
      </c>
      <c r="E38" s="29">
        <f t="shared" si="40"/>
        <v>57.7</v>
      </c>
      <c r="F38" s="29">
        <f t="shared" si="40"/>
        <v>17353.099999999999</v>
      </c>
      <c r="G38" s="79">
        <f>(G36*$O$36+G37*$O$37)/$O$38</f>
        <v>0.99047374429223733</v>
      </c>
      <c r="H38" s="29">
        <f t="shared" ref="H38:J38" si="41">SUM(H36:H37)</f>
        <v>0</v>
      </c>
      <c r="I38" s="79">
        <f>(I36*$O$36+I37*$O$37)/$O$38</f>
        <v>0</v>
      </c>
      <c r="J38" s="29">
        <f t="shared" si="41"/>
        <v>0</v>
      </c>
      <c r="K38" s="79">
        <f>(K36*$O$36+K37*$O$37)/$O$38</f>
        <v>0</v>
      </c>
      <c r="L38" s="29">
        <f t="shared" ref="L38" si="42">SUM(L36:L37)</f>
        <v>0</v>
      </c>
      <c r="M38" s="79">
        <f>(M36*$O$36+M37*$O$37)/$O$38</f>
        <v>9.5262557077625595E-3</v>
      </c>
      <c r="N38" s="209">
        <f>(N36*$O$36+N37*$O$37)/$O$38</f>
        <v>9.5262557077625595E-3</v>
      </c>
      <c r="O38" s="31">
        <f>SUM(O36:O37)</f>
        <v>42</v>
      </c>
      <c r="P38" s="79">
        <f t="shared" ref="P38:R38" si="43">(P36*$O$36+P37*$O$37)/$O$38</f>
        <v>0.99374305261107221</v>
      </c>
      <c r="Q38" s="79">
        <f t="shared" si="43"/>
        <v>4.8303979125896932E-3</v>
      </c>
      <c r="R38" s="79">
        <f t="shared" si="43"/>
        <v>0</v>
      </c>
      <c r="S38" s="62">
        <f>SUM(S36:S37)</f>
        <v>1777.2</v>
      </c>
      <c r="T38" s="29">
        <f>SUM(T36:T37)</f>
        <v>42</v>
      </c>
      <c r="U38" s="151"/>
      <c r="X38" s="66"/>
      <c r="Y38" s="66"/>
    </row>
    <row r="39" spans="1:25" x14ac:dyDescent="0.25">
      <c r="A39" s="74" t="s">
        <v>56</v>
      </c>
      <c r="B39" s="37" t="s">
        <v>47</v>
      </c>
      <c r="C39" s="8">
        <f>SUM('KPI_FY 24-25'!C44,'KPI_FY 24-25'!Y44,'KPI_FY 24-25'!AU44,'KPI_FY 24-25'!BQ44,'KPI_FY 24-25'!CM44,'KPI_FY 24-25'!DI44,'KPI_FY 24-25'!EE44,'KPI_FY 24-25'!FA44,'KPI_FY 24-25'!FW44,'KPI_FY 24-25'!GS44,'KPI_FY 24-25'!HO44,'KPI_FY 24-25'!IK44)</f>
        <v>24</v>
      </c>
      <c r="D39" s="8">
        <f>SUM('KPI_FY 24-25'!D44,'KPI_FY 24-25'!Z44,'KPI_FY 24-25'!AV44,'KPI_FY 24-25'!BR44,'KPI_FY 24-25'!CN44,'KPI_FY 24-25'!DJ44,'KPI_FY 24-25'!EF44,'KPI_FY 24-25'!FB44,'KPI_FY 24-25'!FX44,'KPI_FY 24-25'!GT44,'KPI_FY 24-25'!HP44,'KPI_FY 24-25'!IL44)</f>
        <v>0</v>
      </c>
      <c r="E39" s="8">
        <f>SUM('KPI_FY 24-25'!E44,'KPI_FY 24-25'!AA44,'KPI_FY 24-25'!AW44,'KPI_FY 24-25'!BS44,'KPI_FY 24-25'!CO44,'KPI_FY 24-25'!DK44,'KPI_FY 24-25'!EG44,'KPI_FY 24-25'!FC44,'KPI_FY 24-25'!FY44,'KPI_FY 24-25'!GU44,'KPI_FY 24-25'!HQ44,'KPI_FY 24-25'!IM44)</f>
        <v>24</v>
      </c>
      <c r="F39" s="8">
        <f>SUM('KPI_FY 24-25'!F44,'KPI_FY 24-25'!AB44,'KPI_FY 24-25'!AX44,'KPI_FY 24-25'!BT44,'KPI_FY 24-25'!CP44,'KPI_FY 24-25'!DL44,'KPI_FY 24-25'!EH44,'KPI_FY 24-25'!FD44,'KPI_FY 24-25'!FZ44,'KPI_FY 24-25'!GV44,'KPI_FY 24-25'!HR44,'KPI_FY 24-25'!IN44)</f>
        <v>0</v>
      </c>
      <c r="G39" s="69">
        <f>(F39/$B$2)</f>
        <v>0</v>
      </c>
      <c r="H39" s="8">
        <f>SUM('KPI_FY 24-25'!H44,'KPI_FY 24-25'!AD44,'KPI_FY 24-25'!AZ44,'KPI_FY 24-25'!BV44,'KPI_FY 24-25'!CR44,'KPI_FY 24-25'!DN44,'KPI_FY 24-25'!EJ44,'KPI_FY 24-25'!FF44,'KPI_FY 24-25'!GB44,'KPI_FY 24-25'!GX44,'KPI_FY 24-25'!HT44,'KPI_FY 24-25'!IP44)</f>
        <v>8736</v>
      </c>
      <c r="I39" s="69">
        <f>(H39/$B$2)</f>
        <v>0.99726027397260275</v>
      </c>
      <c r="J39" s="6">
        <f>SUM('KPI_FY 24-25'!J44,'KPI_FY 24-25'!AF44,'KPI_FY 24-25'!BB44,'KPI_FY 24-25'!BX44,'KPI_FY 24-25'!CT44,'KPI_FY 24-25'!DP44,'KPI_FY 24-25'!EL44,'KPI_FY 24-25'!FH44,'KPI_FY 24-25'!GD44,'KPI_FY 24-25'!GZ44,'KPI_FY 24-25'!HV44,'KPI_FY 24-25'!IR44)</f>
        <v>0</v>
      </c>
      <c r="K39" s="69">
        <f>(J39/$B$2)</f>
        <v>0</v>
      </c>
      <c r="L39" s="8">
        <f>SUM('KPI_FY 24-25'!L44,'KPI_FY 24-25'!AH44,'KPI_FY 24-25'!BD44,'KPI_FY 24-25'!BZ44,'KPI_FY 24-25'!CV44,'KPI_FY 24-25'!DR44,'KPI_FY 24-25'!EN44,'KPI_FY 24-25'!FJ44,'KPI_FY 24-25'!GF44,'KPI_FY 24-25'!HB44,'KPI_FY 24-25'!HX44,'KPI_FY 24-25'!IT44)</f>
        <v>0</v>
      </c>
      <c r="M39" s="69">
        <f>(C39/$B$2)</f>
        <v>2.7397260273972603E-3</v>
      </c>
      <c r="N39" s="69">
        <f>((C39-L39)/$B$2)</f>
        <v>2.7397260273972603E-3</v>
      </c>
      <c r="O39" s="15">
        <v>21</v>
      </c>
      <c r="P39" s="149">
        <f>IF((AND(D39=0,F39=0)),0,(F39+L39)/(D39+F39+L39))</f>
        <v>0</v>
      </c>
      <c r="Q39" s="69">
        <f>(S39/($B$2*O39))</f>
        <v>0</v>
      </c>
      <c r="R39" s="69">
        <f>(L39/$B$2)</f>
        <v>0</v>
      </c>
      <c r="S39" s="9">
        <f>SUM('KPI_FY 24-25'!T44,'KPI_FY 24-25'!AP44,'KPI_FY 24-25'!BL44,'KPI_FY 24-25'!CH44,'KPI_FY 24-25'!DD44,'KPI_FY 24-25'!DZ44,'KPI_FY 24-25'!EV44,'KPI_FY 24-25'!FR44,'KPI_FY 24-25'!GN44,'KPI_FY 24-25'!HJ44,'KPI_FY 24-25'!IF44,'KPI_FY 24-25'!JB44)</f>
        <v>0</v>
      </c>
      <c r="T39" s="8">
        <v>21</v>
      </c>
      <c r="U39" s="150">
        <f>SUM(G39,I39,K39,R39,N39)</f>
        <v>1</v>
      </c>
      <c r="W39" s="64"/>
      <c r="X39" s="15"/>
      <c r="Y39" s="15"/>
    </row>
    <row r="40" spans="1:25" x14ac:dyDescent="0.25">
      <c r="A40" s="8"/>
      <c r="B40" s="37" t="s">
        <v>48</v>
      </c>
      <c r="C40" s="8">
        <f>SUM('KPI_FY 24-25'!C45,'KPI_FY 24-25'!Y45,'KPI_FY 24-25'!AU45,'KPI_FY 24-25'!BQ45,'KPI_FY 24-25'!CM45,'KPI_FY 24-25'!DI45,'KPI_FY 24-25'!EE45,'KPI_FY 24-25'!FA45,'KPI_FY 24-25'!FW45,'KPI_FY 24-25'!GS45,'KPI_FY 24-25'!HO45,'KPI_FY 24-25'!IK45)</f>
        <v>8472</v>
      </c>
      <c r="D40" s="8">
        <f>SUM('KPI_FY 24-25'!D45,'KPI_FY 24-25'!Z45,'KPI_FY 24-25'!AV45,'KPI_FY 24-25'!BR45,'KPI_FY 24-25'!CN45,'KPI_FY 24-25'!DJ45,'KPI_FY 24-25'!EF45,'KPI_FY 24-25'!FB45,'KPI_FY 24-25'!FX45,'KPI_FY 24-25'!GT45,'KPI_FY 24-25'!HP45,'KPI_FY 24-25'!IL45)</f>
        <v>1234.0999999999997</v>
      </c>
      <c r="E40" s="8">
        <f>SUM('KPI_FY 24-25'!E45,'KPI_FY 24-25'!AA45,'KPI_FY 24-25'!AW45,'KPI_FY 24-25'!BS45,'KPI_FY 24-25'!CO45,'KPI_FY 24-25'!DK45,'KPI_FY 24-25'!EG45,'KPI_FY 24-25'!FC45,'KPI_FY 24-25'!FY45,'KPI_FY 24-25'!GU45,'KPI_FY 24-25'!HQ45,'KPI_FY 24-25'!IM45)</f>
        <v>7237.9</v>
      </c>
      <c r="F40" s="8">
        <f>SUM('KPI_FY 24-25'!F45,'KPI_FY 24-25'!AB45,'KPI_FY 24-25'!AX45,'KPI_FY 24-25'!BT45,'KPI_FY 24-25'!CP45,'KPI_FY 24-25'!DL45,'KPI_FY 24-25'!EH45,'KPI_FY 24-25'!FD45,'KPI_FY 24-25'!FZ45,'KPI_FY 24-25'!GV45,'KPI_FY 24-25'!HR45,'KPI_FY 24-25'!IN45)</f>
        <v>288</v>
      </c>
      <c r="G40" s="69">
        <f>(F40/$B$2)</f>
        <v>3.287671232876712E-2</v>
      </c>
      <c r="H40" s="8">
        <f>SUM('KPI_FY 24-25'!H45,'KPI_FY 24-25'!AD45,'KPI_FY 24-25'!AZ45,'KPI_FY 24-25'!BV45,'KPI_FY 24-25'!CR45,'KPI_FY 24-25'!DN45,'KPI_FY 24-25'!EJ45,'KPI_FY 24-25'!FF45,'KPI_FY 24-25'!GB45,'KPI_FY 24-25'!GX45,'KPI_FY 24-25'!HT45,'KPI_FY 24-25'!IP45)</f>
        <v>0</v>
      </c>
      <c r="I40" s="69">
        <f>(H40/$B$2)</f>
        <v>0</v>
      </c>
      <c r="J40" s="6">
        <f>SUM('KPI_FY 24-25'!J45,'KPI_FY 24-25'!AF45,'KPI_FY 24-25'!BB45,'KPI_FY 24-25'!BX45,'KPI_FY 24-25'!CT45,'KPI_FY 24-25'!DP45,'KPI_FY 24-25'!EL45,'KPI_FY 24-25'!FH45,'KPI_FY 24-25'!GD45,'KPI_FY 24-25'!GZ45,'KPI_FY 24-25'!HV45,'KPI_FY 24-25'!IR45)</f>
        <v>0</v>
      </c>
      <c r="K40" s="69">
        <f>(J40/$B$2)</f>
        <v>0</v>
      </c>
      <c r="L40" s="8">
        <f>SUM('KPI_FY 24-25'!L45,'KPI_FY 24-25'!AH45,'KPI_FY 24-25'!BD45,'KPI_FY 24-25'!BZ45,'KPI_FY 24-25'!CV45,'KPI_FY 24-25'!DR45,'KPI_FY 24-25'!EN45,'KPI_FY 24-25'!FJ45,'KPI_FY 24-25'!GF45,'KPI_FY 24-25'!HB45,'KPI_FY 24-25'!HX45,'KPI_FY 24-25'!IT45)</f>
        <v>0</v>
      </c>
      <c r="M40" s="69">
        <f>(C40/$B$2)</f>
        <v>0.9671232876712329</v>
      </c>
      <c r="N40" s="69">
        <f>((C40-L40)/$B$2)</f>
        <v>0.9671232876712329</v>
      </c>
      <c r="O40" s="15">
        <v>21</v>
      </c>
      <c r="P40" s="149">
        <f>IF((AND(D40=0,F40=0)),0,(F40+L40)/(D40+F40+L40))</f>
        <v>0.18921227251823142</v>
      </c>
      <c r="Q40" s="69">
        <f>(S40/($B$2*O40))</f>
        <v>0.10279408567079799</v>
      </c>
      <c r="R40" s="69">
        <f>(L40/$B$2)</f>
        <v>0</v>
      </c>
      <c r="S40" s="138">
        <f>SUM('KPI_FY 24-25'!T45,'KPI_FY 24-25'!AP45,'KPI_FY 24-25'!BL45,'KPI_FY 24-25'!CH45,'KPI_FY 24-25'!DD45,'KPI_FY 24-25'!DZ45,'KPI_FY 24-25'!EV45,'KPI_FY 24-25'!FR45,'KPI_FY 24-25'!GN45,'KPI_FY 24-25'!HJ45,'KPI_FY 24-25'!IF45,'KPI_FY 24-25'!JB45)</f>
        <v>18910</v>
      </c>
      <c r="T40" s="8">
        <v>21</v>
      </c>
      <c r="U40" s="150">
        <f>SUM(G40,I40,K40,R40,N40)</f>
        <v>1</v>
      </c>
      <c r="W40" s="64"/>
      <c r="X40" s="15"/>
      <c r="Y40" s="15"/>
    </row>
    <row r="41" spans="1:25" x14ac:dyDescent="0.25">
      <c r="A41" s="8"/>
      <c r="B41" s="190" t="s">
        <v>39</v>
      </c>
      <c r="C41" s="29">
        <f>SUM(C39:C40)</f>
        <v>8496</v>
      </c>
      <c r="D41" s="29">
        <f t="shared" ref="D41:F41" si="44">SUM(D39:D40)</f>
        <v>1234.0999999999997</v>
      </c>
      <c r="E41" s="29">
        <f t="shared" si="44"/>
        <v>7261.9</v>
      </c>
      <c r="F41" s="29">
        <f t="shared" si="44"/>
        <v>288</v>
      </c>
      <c r="G41" s="79">
        <f>(G39*$O$39+G40*$O$40)/$O$41</f>
        <v>1.643835616438356E-2</v>
      </c>
      <c r="H41" s="29">
        <f>SUM(H40)</f>
        <v>0</v>
      </c>
      <c r="I41" s="79">
        <f>(I39*$O$39+I40*$O$40)/$O$41</f>
        <v>0.49863013698630132</v>
      </c>
      <c r="J41" s="29">
        <f t="shared" ref="J41" si="45">SUM(J39:J40)</f>
        <v>0</v>
      </c>
      <c r="K41" s="79">
        <f>(K39*$O$39+K40*$O$40)/$O$41</f>
        <v>0</v>
      </c>
      <c r="L41" s="29">
        <f t="shared" ref="L41" si="46">SUM(L39:L40)</f>
        <v>0</v>
      </c>
      <c r="M41" s="79">
        <f>(M39*$O$39+M40*$O$40)/$O$41</f>
        <v>0.48493150684931507</v>
      </c>
      <c r="N41" s="209">
        <f>(N39*$O$39+N40*$O$40)/$O$41</f>
        <v>0.48493150684931507</v>
      </c>
      <c r="O41" s="31">
        <f>SUM(O39:O40)</f>
        <v>42</v>
      </c>
      <c r="P41" s="79">
        <f>(P39*$O$39+P40*$O$40)/$O$41</f>
        <v>9.4606136259115708E-2</v>
      </c>
      <c r="Q41" s="79">
        <f>(Q39*$O$39+Q40*$O$40)/$O$41</f>
        <v>5.1397042835398997E-2</v>
      </c>
      <c r="R41" s="79">
        <f>(R39*$O$39+R40*$O$40)/$O$41</f>
        <v>0</v>
      </c>
      <c r="S41" s="62">
        <f>SUM(S39:S40)</f>
        <v>18910</v>
      </c>
      <c r="T41" s="29">
        <f>SUM(T39:T40)</f>
        <v>42</v>
      </c>
      <c r="U41" s="151"/>
      <c r="W41" s="64"/>
      <c r="X41" s="15"/>
      <c r="Y41" s="15"/>
    </row>
    <row r="42" spans="1:25" x14ac:dyDescent="0.25">
      <c r="A42" s="74" t="s">
        <v>57</v>
      </c>
      <c r="B42" s="37" t="s">
        <v>47</v>
      </c>
      <c r="C42" s="8">
        <f>SUM('KPI_FY 24-25'!C47,'KPI_FY 24-25'!Y47,'KPI_FY 24-25'!AU47,'KPI_FY 24-25'!BQ47,'KPI_FY 24-25'!CM47,'KPI_FY 24-25'!DI47,'KPI_FY 24-25'!EE47,'KPI_FY 24-25'!FA47,'KPI_FY 24-25'!FW47,'KPI_FY 24-25'!GS47,'KPI_FY 24-25'!HO47,'KPI_FY 24-25'!IK47)</f>
        <v>0</v>
      </c>
      <c r="D42" s="8">
        <f>SUM('KPI_FY 24-25'!D47,'KPI_FY 24-25'!Z47,'KPI_FY 24-25'!AV47,'KPI_FY 24-25'!BR47,'KPI_FY 24-25'!CN47,'KPI_FY 24-25'!DJ47,'KPI_FY 24-25'!EF47,'KPI_FY 24-25'!FB47,'KPI_FY 24-25'!FX47,'KPI_FY 24-25'!GT47,'KPI_FY 24-25'!HP47,'KPI_FY 24-25'!IL47)</f>
        <v>0</v>
      </c>
      <c r="E42" s="8">
        <f>SUM('KPI_FY 24-25'!E47,'KPI_FY 24-25'!AA47,'KPI_FY 24-25'!AW47,'KPI_FY 24-25'!BS47,'KPI_FY 24-25'!CO47,'KPI_FY 24-25'!DK47,'KPI_FY 24-25'!EG47,'KPI_FY 24-25'!FC47,'KPI_FY 24-25'!FY47,'KPI_FY 24-25'!GU47,'KPI_FY 24-25'!HQ47,'KPI_FY 24-25'!IM47)</f>
        <v>0</v>
      </c>
      <c r="F42" s="8">
        <f>SUM('KPI_FY 24-25'!F47,'KPI_FY 24-25'!AB47,'KPI_FY 24-25'!AX47,'KPI_FY 24-25'!BT47,'KPI_FY 24-25'!CP47,'KPI_FY 24-25'!DL47,'KPI_FY 24-25'!EH47,'KPI_FY 24-25'!FD47,'KPI_FY 24-25'!FZ47,'KPI_FY 24-25'!GV47,'KPI_FY 24-25'!HR47,'KPI_FY 24-25'!IN47)</f>
        <v>8760</v>
      </c>
      <c r="G42" s="69">
        <f>(F42/$B$2)</f>
        <v>1</v>
      </c>
      <c r="H42" s="8">
        <f>SUM('KPI_FY 24-25'!H47,'KPI_FY 24-25'!AD47,'KPI_FY 24-25'!AZ47,'KPI_FY 24-25'!BV47,'KPI_FY 24-25'!CR47,'KPI_FY 24-25'!DN47,'KPI_FY 24-25'!EJ47,'KPI_FY 24-25'!FF47,'KPI_FY 24-25'!GB47,'KPI_FY 24-25'!GX47,'KPI_FY 24-25'!HT47,'KPI_FY 24-25'!IP47)</f>
        <v>0</v>
      </c>
      <c r="I42" s="69">
        <f>(H42/$B$2)</f>
        <v>0</v>
      </c>
      <c r="J42" s="6">
        <f>SUM('KPI_FY 24-25'!J47,'KPI_FY 24-25'!AF47,'KPI_FY 24-25'!BB47,'KPI_FY 24-25'!BX47,'KPI_FY 24-25'!CT47,'KPI_FY 24-25'!DP47,'KPI_FY 24-25'!EL47,'KPI_FY 24-25'!FH47,'KPI_FY 24-25'!GD47,'KPI_FY 24-25'!GZ47,'KPI_FY 24-25'!HV47,'KPI_FY 24-25'!IR47)</f>
        <v>0</v>
      </c>
      <c r="K42" s="69">
        <f>(J42/$B$2)</f>
        <v>0</v>
      </c>
      <c r="L42" s="8">
        <f>SUM('KPI_FY 24-25'!L47,'KPI_FY 24-25'!AH47,'KPI_FY 24-25'!BD47,'KPI_FY 24-25'!BZ47,'KPI_FY 24-25'!CV47,'KPI_FY 24-25'!DR47,'KPI_FY 24-25'!EN47,'KPI_FY 24-25'!FJ47,'KPI_FY 24-25'!GF47,'KPI_FY 24-25'!HB47,'KPI_FY 24-25'!HX47,'KPI_FY 24-25'!IT47)</f>
        <v>0</v>
      </c>
      <c r="M42" s="69">
        <f>(C42/$B$2)</f>
        <v>0</v>
      </c>
      <c r="N42" s="69">
        <f>((C42-L42)/$B$2)</f>
        <v>0</v>
      </c>
      <c r="O42" s="15">
        <v>0</v>
      </c>
      <c r="P42" s="149">
        <f>IF((AND(D42=0,F42=0)),0,(F42+L42)/(D42+F42+L42))</f>
        <v>1</v>
      </c>
      <c r="Q42" s="69" t="e">
        <f>(S42/($B$2*O42))</f>
        <v>#DIV/0!</v>
      </c>
      <c r="R42" s="69">
        <f>(L42/$B$2)</f>
        <v>0</v>
      </c>
      <c r="S42" s="9">
        <f>SUM('KPI_FY 24-25'!T47,'KPI_FY 24-25'!AP47,'KPI_FY 24-25'!BL47,'KPI_FY 24-25'!CH47,'KPI_FY 24-25'!DD47,'KPI_FY 24-25'!DZ47,'KPI_FY 24-25'!EV47,'KPI_FY 24-25'!FR47,'KPI_FY 24-25'!GN47,'KPI_FY 24-25'!HJ47,'KPI_FY 24-25'!IF47,'KPI_FY 24-25'!JB47)</f>
        <v>0</v>
      </c>
      <c r="T42" s="8">
        <v>21</v>
      </c>
      <c r="U42" s="150">
        <f>SUM(G42,I42,K42,R42,N42)</f>
        <v>1</v>
      </c>
      <c r="X42" s="15"/>
      <c r="Y42" s="15"/>
    </row>
    <row r="43" spans="1:25" x14ac:dyDescent="0.25">
      <c r="A43" s="8"/>
      <c r="B43" s="37" t="s">
        <v>48</v>
      </c>
      <c r="C43" s="8">
        <f>SUM('KPI_FY 24-25'!C48,'KPI_FY 24-25'!Y48,'KPI_FY 24-25'!AU48,'KPI_FY 24-25'!BQ48,'KPI_FY 24-25'!CM48,'KPI_FY 24-25'!DI48,'KPI_FY 24-25'!EE48,'KPI_FY 24-25'!FA48,'KPI_FY 24-25'!FW48,'KPI_FY 24-25'!GS48,'KPI_FY 24-25'!HO48,'KPI_FY 24-25'!IK48)</f>
        <v>8760</v>
      </c>
      <c r="D43" s="8">
        <f>SUM('KPI_FY 24-25'!D48,'KPI_FY 24-25'!Z48,'KPI_FY 24-25'!AV48,'KPI_FY 24-25'!BR48,'KPI_FY 24-25'!CN48,'KPI_FY 24-25'!DJ48,'KPI_FY 24-25'!EF48,'KPI_FY 24-25'!FB48,'KPI_FY 24-25'!FX48,'KPI_FY 24-25'!GT48,'KPI_FY 24-25'!HP48,'KPI_FY 24-25'!IL48)</f>
        <v>1432.1</v>
      </c>
      <c r="E43" s="8">
        <f>SUM('KPI_FY 24-25'!E48,'KPI_FY 24-25'!AA48,'KPI_FY 24-25'!AW48,'KPI_FY 24-25'!BS48,'KPI_FY 24-25'!CO48,'KPI_FY 24-25'!DK48,'KPI_FY 24-25'!EG48,'KPI_FY 24-25'!FC48,'KPI_FY 24-25'!FY48,'KPI_FY 24-25'!GU48,'KPI_FY 24-25'!HQ48,'KPI_FY 24-25'!IM48)</f>
        <v>7327.9000000000005</v>
      </c>
      <c r="F43" s="8">
        <f>SUM('KPI_FY 24-25'!F48,'KPI_FY 24-25'!AB48,'KPI_FY 24-25'!AX48,'KPI_FY 24-25'!BT48,'KPI_FY 24-25'!CP48,'KPI_FY 24-25'!DL48,'KPI_FY 24-25'!EH48,'KPI_FY 24-25'!FD48,'KPI_FY 24-25'!FZ48,'KPI_FY 24-25'!GV48,'KPI_FY 24-25'!HR48,'KPI_FY 24-25'!IN48)</f>
        <v>0</v>
      </c>
      <c r="G43" s="69">
        <f>(F43/$B$2)</f>
        <v>0</v>
      </c>
      <c r="H43" s="8">
        <f>SUM('KPI_FY 24-25'!H48,'KPI_FY 24-25'!AD48,'KPI_FY 24-25'!AZ48,'KPI_FY 24-25'!BV48,'KPI_FY 24-25'!CR48,'KPI_FY 24-25'!DN48,'KPI_FY 24-25'!EJ48,'KPI_FY 24-25'!FF48,'KPI_FY 24-25'!GB48,'KPI_FY 24-25'!GX48,'KPI_FY 24-25'!HT48,'KPI_FY 24-25'!IP48)</f>
        <v>0</v>
      </c>
      <c r="I43" s="69">
        <f>(H43/$B$2)</f>
        <v>0</v>
      </c>
      <c r="J43" s="6">
        <f>SUM('KPI_FY 24-25'!J48,'KPI_FY 24-25'!AF48,'KPI_FY 24-25'!BB48,'KPI_FY 24-25'!BX48,'KPI_FY 24-25'!CT48,'KPI_FY 24-25'!DP48,'KPI_FY 24-25'!EL48,'KPI_FY 24-25'!FH48,'KPI_FY 24-25'!GD48,'KPI_FY 24-25'!GZ48,'KPI_FY 24-25'!HV48,'KPI_FY 24-25'!IR48)</f>
        <v>0</v>
      </c>
      <c r="K43" s="69">
        <f>(J43/$B$2)</f>
        <v>0</v>
      </c>
      <c r="L43" s="8">
        <f>SUM('KPI_FY 24-25'!L48,'KPI_FY 24-25'!AH48,'KPI_FY 24-25'!BD48,'KPI_FY 24-25'!BZ48,'KPI_FY 24-25'!CV48,'KPI_FY 24-25'!DR48,'KPI_FY 24-25'!EN48,'KPI_FY 24-25'!FJ48,'KPI_FY 24-25'!GF48,'KPI_FY 24-25'!HB48,'KPI_FY 24-25'!HX48,'KPI_FY 24-25'!IT48)</f>
        <v>0</v>
      </c>
      <c r="M43" s="69">
        <f>(C43/$B$2)</f>
        <v>1</v>
      </c>
      <c r="N43" s="69">
        <f>((C43-L43)/$B$2)</f>
        <v>1</v>
      </c>
      <c r="O43" s="15">
        <v>20</v>
      </c>
      <c r="P43" s="149">
        <f>IF((AND(D43=0,F43=0)),0,(F43+L43)/(D43+F43+L43))</f>
        <v>0</v>
      </c>
      <c r="Q43" s="69">
        <f>(S43/($B$2*O43))</f>
        <v>0.15940639269406393</v>
      </c>
      <c r="R43" s="69">
        <f>(L43/$B$2)</f>
        <v>0</v>
      </c>
      <c r="S43" s="138">
        <f>SUM('KPI_FY 24-25'!T48,'KPI_FY 24-25'!AP48,'KPI_FY 24-25'!BL48,'KPI_FY 24-25'!CH48,'KPI_FY 24-25'!DD48,'KPI_FY 24-25'!DZ48,'KPI_FY 24-25'!EV48,'KPI_FY 24-25'!FR48,'KPI_FY 24-25'!GN48,'KPI_FY 24-25'!HJ48,'KPI_FY 24-25'!IF48,'KPI_FY 24-25'!JB48)</f>
        <v>27928</v>
      </c>
      <c r="T43" s="8">
        <v>21</v>
      </c>
      <c r="U43" s="150">
        <f>SUM(G43,I43,K43,R43,N43)</f>
        <v>1</v>
      </c>
      <c r="X43" s="8"/>
      <c r="Y43" s="8"/>
    </row>
    <row r="44" spans="1:25" x14ac:dyDescent="0.25">
      <c r="A44" s="8"/>
      <c r="B44" s="190" t="s">
        <v>39</v>
      </c>
      <c r="C44" s="29">
        <f>SUM(C42:C43)</f>
        <v>8760</v>
      </c>
      <c r="D44" s="29">
        <f t="shared" ref="D44:F44" si="47">SUM(D42:D43)</f>
        <v>1432.1</v>
      </c>
      <c r="E44" s="29">
        <f t="shared" si="47"/>
        <v>7327.9000000000005</v>
      </c>
      <c r="F44" s="29">
        <f t="shared" si="47"/>
        <v>8760</v>
      </c>
      <c r="G44" s="79">
        <f>(G42*O42+G43*O43)/O44</f>
        <v>0</v>
      </c>
      <c r="H44" s="29">
        <f t="shared" ref="H44:J44" si="48">SUM(H42:H43)</f>
        <v>0</v>
      </c>
      <c r="I44" s="79">
        <f>(I42*$O$42+I43*$O$43)/$O$44</f>
        <v>0</v>
      </c>
      <c r="J44" s="29">
        <f t="shared" si="48"/>
        <v>0</v>
      </c>
      <c r="K44" s="79">
        <f>(K43*$O$43)/$O$44</f>
        <v>0</v>
      </c>
      <c r="L44" s="29">
        <f t="shared" ref="L44" si="49">SUM(L42:L43)</f>
        <v>0</v>
      </c>
      <c r="M44" s="79">
        <f>(M43*$O$43)/$O$44</f>
        <v>1</v>
      </c>
      <c r="N44" s="209">
        <f>(N43*$O$43)/$O$44</f>
        <v>1</v>
      </c>
      <c r="O44" s="31">
        <f>SUM(O42:O43)</f>
        <v>20</v>
      </c>
      <c r="P44" s="79">
        <f>(P43*$O$43)/$O$44</f>
        <v>0</v>
      </c>
      <c r="Q44" s="79">
        <f>(Q43*$O$43)/$O$44</f>
        <v>0.15940639269406393</v>
      </c>
      <c r="R44" s="79">
        <f>(R43*$O$43)/$O$44</f>
        <v>0</v>
      </c>
      <c r="S44" s="188">
        <f>SUM(S42:S43)</f>
        <v>27928</v>
      </c>
      <c r="T44" s="29">
        <f>SUM(T42:T43)</f>
        <v>42</v>
      </c>
      <c r="U44" s="151"/>
    </row>
    <row r="45" spans="1:25" x14ac:dyDescent="0.25">
      <c r="A45" s="74" t="s">
        <v>58</v>
      </c>
      <c r="B45" s="37" t="s">
        <v>47</v>
      </c>
      <c r="C45" s="8">
        <f>SUM('KPI_FY 24-25'!C50,'KPI_FY 24-25'!Y50,'KPI_FY 24-25'!AU50,'KPI_FY 24-25'!BQ50,'KPI_FY 24-25'!CM50,'KPI_FY 24-25'!DI50,'KPI_FY 24-25'!EE50,'KPI_FY 24-25'!FA50,'KPI_FY 24-25'!FW50,'KPI_FY 24-25'!GS50,'KPI_FY 24-25'!HO50,'KPI_FY 24-25'!IK50)</f>
        <v>8760</v>
      </c>
      <c r="D45" s="8">
        <f>SUM('KPI_FY 24-25'!D50,'KPI_FY 24-25'!Z50,'KPI_FY 24-25'!AV50,'KPI_FY 24-25'!BR50,'KPI_FY 24-25'!CN50,'KPI_FY 24-25'!DJ50,'KPI_FY 24-25'!EF50,'KPI_FY 24-25'!FB50,'KPI_FY 24-25'!FX50,'KPI_FY 24-25'!GT50,'KPI_FY 24-25'!HP50,'KPI_FY 24-25'!IL50)</f>
        <v>1618.4999999999998</v>
      </c>
      <c r="E45" s="8">
        <f>SUM('KPI_FY 24-25'!E50,'KPI_FY 24-25'!AA50,'KPI_FY 24-25'!AW50,'KPI_FY 24-25'!BS50,'KPI_FY 24-25'!CO50,'KPI_FY 24-25'!DK50,'KPI_FY 24-25'!EG50,'KPI_FY 24-25'!FC50,'KPI_FY 24-25'!FY50,'KPI_FY 24-25'!GU50,'KPI_FY 24-25'!HQ50,'KPI_FY 24-25'!IM50)</f>
        <v>7141.4999999999991</v>
      </c>
      <c r="F45" s="8">
        <f>SUM('KPI_FY 24-25'!F50,'KPI_FY 24-25'!AB50,'KPI_FY 24-25'!AX50,'KPI_FY 24-25'!BT50,'KPI_FY 24-25'!CP50,'KPI_FY 24-25'!DL50,'KPI_FY 24-25'!EH50,'KPI_FY 24-25'!FD50,'KPI_FY 24-25'!FZ50,'KPI_FY 24-25'!GV50,'KPI_FY 24-25'!HR50,'KPI_FY 24-25'!IN50)</f>
        <v>0</v>
      </c>
      <c r="G45" s="69">
        <f>(F45/$B$2)</f>
        <v>0</v>
      </c>
      <c r="H45" s="8">
        <f>SUM('KPI_FY 24-25'!H50,'KPI_FY 24-25'!AD50,'KPI_FY 24-25'!AZ50,'KPI_FY 24-25'!BV50,'KPI_FY 24-25'!CR50,'KPI_FY 24-25'!DN50,'KPI_FY 24-25'!EJ50,'KPI_FY 24-25'!FF50,'KPI_FY 24-25'!GB50,'KPI_FY 24-25'!GX50,'KPI_FY 24-25'!HT50,'KPI_FY 24-25'!IP50)</f>
        <v>0</v>
      </c>
      <c r="I45" s="69">
        <f>(H45/$B$2)</f>
        <v>0</v>
      </c>
      <c r="J45" s="6">
        <f>SUM('KPI_FY 24-25'!J50,'KPI_FY 24-25'!AF50,'KPI_FY 24-25'!BB50,'KPI_FY 24-25'!BX50,'KPI_FY 24-25'!CT50,'KPI_FY 24-25'!DP50,'KPI_FY 24-25'!EL50,'KPI_FY 24-25'!FH50,'KPI_FY 24-25'!GD50,'KPI_FY 24-25'!GZ50,'KPI_FY 24-25'!HV50,'KPI_FY 24-25'!IR50)</f>
        <v>0</v>
      </c>
      <c r="K45" s="69">
        <f>(J45/$B$2)</f>
        <v>0</v>
      </c>
      <c r="L45" s="8">
        <f>SUM('KPI_FY 24-25'!L50,'KPI_FY 24-25'!AH50,'KPI_FY 24-25'!BD50,'KPI_FY 24-25'!BZ50,'KPI_FY 24-25'!CV50,'KPI_FY 24-25'!DR50,'KPI_FY 24-25'!EN50,'KPI_FY 24-25'!FJ50,'KPI_FY 24-25'!GF50,'KPI_FY 24-25'!HB50,'KPI_FY 24-25'!HX50,'KPI_FY 24-25'!IT50)</f>
        <v>0</v>
      </c>
      <c r="M45" s="69">
        <f>(C45/$B$2)</f>
        <v>1</v>
      </c>
      <c r="N45" s="69">
        <f>((C45-L45)/$B$2)</f>
        <v>1</v>
      </c>
      <c r="O45" s="15">
        <v>20</v>
      </c>
      <c r="P45" s="149">
        <f>IF((AND(D45=0,F45=0)),0,(F45+L45)/(D45+F45+L45))</f>
        <v>0</v>
      </c>
      <c r="Q45" s="69">
        <f>(S45/($B$2*O45))</f>
        <v>0.17184931506849316</v>
      </c>
      <c r="R45" s="69">
        <f>(L45/$B$2)</f>
        <v>0</v>
      </c>
      <c r="S45" s="137">
        <f>SUM('KPI_FY 24-25'!T50,'KPI_FY 24-25'!AP50,'KPI_FY 24-25'!BL50,'KPI_FY 24-25'!CH50,'KPI_FY 24-25'!DD50,'KPI_FY 24-25'!DZ50,'KPI_FY 24-25'!EV50,'KPI_FY 24-25'!FR50,'KPI_FY 24-25'!GN50,'KPI_FY 24-25'!HJ50,'KPI_FY 24-25'!IF50,'KPI_FY 24-25'!JB50)</f>
        <v>30108</v>
      </c>
      <c r="T45" s="8">
        <v>21</v>
      </c>
      <c r="U45" s="150">
        <f>SUM(G45,I45,K45,R45,N45)</f>
        <v>1</v>
      </c>
    </row>
    <row r="46" spans="1:25" x14ac:dyDescent="0.25">
      <c r="A46" s="8"/>
      <c r="B46" s="37" t="s">
        <v>48</v>
      </c>
      <c r="C46" s="8">
        <f>SUM('KPI_FY 24-25'!C51,'KPI_FY 24-25'!Y51,'KPI_FY 24-25'!AU51,'KPI_FY 24-25'!BQ51,'KPI_FY 24-25'!CM51,'KPI_FY 24-25'!DI51,'KPI_FY 24-25'!EE51,'KPI_FY 24-25'!FA51,'KPI_FY 24-25'!FW51,'KPI_FY 24-25'!GS51,'KPI_FY 24-25'!HO51,'KPI_FY 24-25'!IK51)</f>
        <v>8760</v>
      </c>
      <c r="D46" s="8">
        <f>SUM('KPI_FY 24-25'!D51,'KPI_FY 24-25'!Z51,'KPI_FY 24-25'!AV51,'KPI_FY 24-25'!BR51,'KPI_FY 24-25'!CN51,'KPI_FY 24-25'!DJ51,'KPI_FY 24-25'!EF51,'KPI_FY 24-25'!FB51,'KPI_FY 24-25'!FX51,'KPI_FY 24-25'!GT51,'KPI_FY 24-25'!HP51,'KPI_FY 24-25'!IL51)</f>
        <v>634.29999999999995</v>
      </c>
      <c r="E46" s="8">
        <f>SUM('KPI_FY 24-25'!E51,'KPI_FY 24-25'!AA51,'KPI_FY 24-25'!AW51,'KPI_FY 24-25'!BS51,'KPI_FY 24-25'!CO51,'KPI_FY 24-25'!DK51,'KPI_FY 24-25'!EG51,'KPI_FY 24-25'!FC51,'KPI_FY 24-25'!FY51,'KPI_FY 24-25'!GU51,'KPI_FY 24-25'!HQ51,'KPI_FY 24-25'!IM51)</f>
        <v>8125.7000000000007</v>
      </c>
      <c r="F46" s="8">
        <f>SUM('KPI_FY 24-25'!F51,'KPI_FY 24-25'!AB51,'KPI_FY 24-25'!AX51,'KPI_FY 24-25'!BT51,'KPI_FY 24-25'!CP51,'KPI_FY 24-25'!DL51,'KPI_FY 24-25'!EH51,'KPI_FY 24-25'!FD51,'KPI_FY 24-25'!FZ51,'KPI_FY 24-25'!GV51,'KPI_FY 24-25'!HR51,'KPI_FY 24-25'!IN51)</f>
        <v>0</v>
      </c>
      <c r="G46" s="69">
        <f>(F46/$B$2)</f>
        <v>0</v>
      </c>
      <c r="H46" s="8">
        <f>SUM('KPI_FY 24-25'!H51,'KPI_FY 24-25'!AD51,'KPI_FY 24-25'!AZ51,'KPI_FY 24-25'!BV51,'KPI_FY 24-25'!CR51,'KPI_FY 24-25'!DN51,'KPI_FY 24-25'!EJ51,'KPI_FY 24-25'!FF51,'KPI_FY 24-25'!GB51,'KPI_FY 24-25'!GX51,'KPI_FY 24-25'!HT51,'KPI_FY 24-25'!IP51)</f>
        <v>0</v>
      </c>
      <c r="I46" s="69">
        <f>(H46/$B$2)</f>
        <v>0</v>
      </c>
      <c r="J46" s="6">
        <f>SUM('KPI_FY 24-25'!J51,'KPI_FY 24-25'!AF51,'KPI_FY 24-25'!BB51,'KPI_FY 24-25'!BX51,'KPI_FY 24-25'!CT51,'KPI_FY 24-25'!DP51,'KPI_FY 24-25'!EL51,'KPI_FY 24-25'!FH51,'KPI_FY 24-25'!GD51,'KPI_FY 24-25'!GZ51,'KPI_FY 24-25'!HV51,'KPI_FY 24-25'!IR51)</f>
        <v>0</v>
      </c>
      <c r="K46" s="69">
        <f>(J46/$B$2)</f>
        <v>0</v>
      </c>
      <c r="L46" s="8">
        <f>SUM('KPI_FY 24-25'!L51,'KPI_FY 24-25'!AH51,'KPI_FY 24-25'!BD51,'KPI_FY 24-25'!BZ51,'KPI_FY 24-25'!CV51,'KPI_FY 24-25'!DR51,'KPI_FY 24-25'!EN51,'KPI_FY 24-25'!FJ51,'KPI_FY 24-25'!GF51,'KPI_FY 24-25'!HB51,'KPI_FY 24-25'!HX51,'KPI_FY 24-25'!IT51)</f>
        <v>0</v>
      </c>
      <c r="M46" s="69">
        <f>(C46/$B$2)</f>
        <v>1</v>
      </c>
      <c r="N46" s="69">
        <f>((C46-L46)/$B$2)</f>
        <v>1</v>
      </c>
      <c r="O46" s="15">
        <v>21</v>
      </c>
      <c r="P46" s="149">
        <f>IF((AND(D46=0,F46=0)),0,(F46+L46)/(D46+F46+L46))</f>
        <v>0</v>
      </c>
      <c r="Q46" s="69">
        <f>(S46/($B$2*O46))</f>
        <v>7.264141117634268E-2</v>
      </c>
      <c r="R46" s="69">
        <f>(L46/$B$2)</f>
        <v>0</v>
      </c>
      <c r="S46" s="137">
        <f>SUM('KPI_FY 24-25'!T51,'KPI_FY 24-25'!AP51,'KPI_FY 24-25'!BL51,'KPI_FY 24-25'!CH51,'KPI_FY 24-25'!DD51,'KPI_FY 24-25'!DZ51,'KPI_FY 24-25'!EV51,'KPI_FY 24-25'!FR51,'KPI_FY 24-25'!GN51,'KPI_FY 24-25'!HJ51,'KPI_FY 24-25'!IF51,'KPI_FY 24-25'!JB51)</f>
        <v>13363.114</v>
      </c>
      <c r="T46" s="8">
        <v>21</v>
      </c>
      <c r="U46" s="150">
        <f>SUM(G46,I46,K46,R46,N46)</f>
        <v>1</v>
      </c>
      <c r="W46" s="64"/>
      <c r="Y46" s="15"/>
    </row>
    <row r="47" spans="1:25" x14ac:dyDescent="0.25">
      <c r="A47" s="8"/>
      <c r="B47" s="190" t="s">
        <v>39</v>
      </c>
      <c r="C47" s="29">
        <f>SUM(C45:C46)</f>
        <v>17520</v>
      </c>
      <c r="D47" s="29">
        <f t="shared" ref="D47:F47" si="50">SUM(D45:D46)</f>
        <v>2252.7999999999997</v>
      </c>
      <c r="E47" s="29">
        <f t="shared" si="50"/>
        <v>15267.2</v>
      </c>
      <c r="F47" s="29">
        <f t="shared" si="50"/>
        <v>0</v>
      </c>
      <c r="G47" s="79">
        <f>(G45*$O$45+G46*$O$46)/$O$47</f>
        <v>0</v>
      </c>
      <c r="H47" s="29">
        <f t="shared" ref="H47:J47" si="51">SUM(H45:H46)</f>
        <v>0</v>
      </c>
      <c r="I47" s="79">
        <f>(I45*$O$45+I46*$O$46)/$O$47</f>
        <v>0</v>
      </c>
      <c r="J47" s="29">
        <f t="shared" si="51"/>
        <v>0</v>
      </c>
      <c r="K47" s="79">
        <f>(K45*$O$45+K46*$O$46)/$O$47</f>
        <v>0</v>
      </c>
      <c r="L47" s="29">
        <f t="shared" ref="L47" si="52">SUM(L45:L46)</f>
        <v>0</v>
      </c>
      <c r="M47" s="79">
        <f>(M45*$O$45+M46*$O$46)/$O$47</f>
        <v>1</v>
      </c>
      <c r="N47" s="209">
        <f>(N45*$O$45+N46*$O$46)/$O$47</f>
        <v>1</v>
      </c>
      <c r="O47" s="31">
        <f>SUM(O45:O46)</f>
        <v>41</v>
      </c>
      <c r="P47" s="79">
        <f>(P45*$O$45+P46*$O$46)/$O$47</f>
        <v>0</v>
      </c>
      <c r="Q47" s="79">
        <f>(Q45*$O$45+Q46*$O$46)/$O$47</f>
        <v>0.12103551063592828</v>
      </c>
      <c r="R47" s="79">
        <f>(R45*$O$45+R46*$O$46)/$O$47</f>
        <v>0</v>
      </c>
      <c r="S47" s="62">
        <f>SUM(S45:S46)</f>
        <v>43471.114000000001</v>
      </c>
      <c r="T47" s="29">
        <f>SUM(T45:T46)</f>
        <v>42</v>
      </c>
      <c r="U47" s="151"/>
    </row>
    <row r="48" spans="1:25" x14ac:dyDescent="0.25">
      <c r="A48" s="74" t="s">
        <v>59</v>
      </c>
      <c r="B48" s="37" t="s">
        <v>60</v>
      </c>
      <c r="C48" s="8">
        <f>SUM('KPI_FY 24-25'!C53,'KPI_FY 24-25'!Y53,'KPI_FY 24-25'!AU53,'KPI_FY 24-25'!BQ53,'KPI_FY 24-25'!CM53,'KPI_FY 24-25'!DI53,'KPI_FY 24-25'!EE53,'KPI_FY 24-25'!FA53,'KPI_FY 24-25'!FW53,'KPI_FY 24-25'!GS53,'KPI_FY 24-25'!HO53,'KPI_FY 24-25'!IK53)</f>
        <v>8154</v>
      </c>
      <c r="D48" s="8">
        <f>SUM('KPI_FY 24-25'!D53,'KPI_FY 24-25'!Z53,'KPI_FY 24-25'!AV53,'KPI_FY 24-25'!BR53,'KPI_FY 24-25'!CN53,'KPI_FY 24-25'!DJ53,'KPI_FY 24-25'!EF53,'KPI_FY 24-25'!FB53,'KPI_FY 24-25'!FX53,'KPI_FY 24-25'!GT53,'KPI_FY 24-25'!HP53,'KPI_FY 24-25'!IL53)</f>
        <v>2123.4</v>
      </c>
      <c r="E48" s="8">
        <f>SUM('KPI_FY 24-25'!E53,'KPI_FY 24-25'!AA53,'KPI_FY 24-25'!AW53,'KPI_FY 24-25'!BS53,'KPI_FY 24-25'!CO53,'KPI_FY 24-25'!DK53,'KPI_FY 24-25'!EG53,'KPI_FY 24-25'!FC53,'KPI_FY 24-25'!FY53,'KPI_FY 24-25'!GU53,'KPI_FY 24-25'!HQ53,'KPI_FY 24-25'!IM53)</f>
        <v>6030.6</v>
      </c>
      <c r="F48" s="8">
        <f>SUM('KPI_FY 24-25'!F53,'KPI_FY 24-25'!AB53,'KPI_FY 24-25'!AX53,'KPI_FY 24-25'!BT53,'KPI_FY 24-25'!CP53,'KPI_FY 24-25'!DL53,'KPI_FY 24-25'!EH53,'KPI_FY 24-25'!FD53,'KPI_FY 24-25'!FZ53,'KPI_FY 24-25'!GV53,'KPI_FY 24-25'!HR53,'KPI_FY 24-25'!IN53)</f>
        <v>606</v>
      </c>
      <c r="G48" s="69">
        <f>(F48/$B$2)</f>
        <v>6.9178082191780815E-2</v>
      </c>
      <c r="H48" s="8">
        <f>SUM('KPI_FY 24-25'!H53,'KPI_FY 24-25'!AD53,'KPI_FY 24-25'!AZ53,'KPI_FY 24-25'!BV53,'KPI_FY 24-25'!CR53,'KPI_FY 24-25'!DN53,'KPI_FY 24-25'!EJ53,'KPI_FY 24-25'!FF53,'KPI_FY 24-25'!GB53,'KPI_FY 24-25'!GX53,'KPI_FY 24-25'!HT53,'KPI_FY 24-25'!IP53)</f>
        <v>0</v>
      </c>
      <c r="I48" s="69">
        <f>(H48/$B$2)</f>
        <v>0</v>
      </c>
      <c r="J48" s="6">
        <f>SUM('KPI_FY 24-25'!J53,'KPI_FY 24-25'!AF53,'KPI_FY 24-25'!BB53,'KPI_FY 24-25'!BX53,'KPI_FY 24-25'!CT53,'KPI_FY 24-25'!DP53,'KPI_FY 24-25'!EL53,'KPI_FY 24-25'!FH53,'KPI_FY 24-25'!GD53,'KPI_FY 24-25'!GZ53,'KPI_FY 24-25'!HV53,'KPI_FY 24-25'!IR53)</f>
        <v>0</v>
      </c>
      <c r="K48" s="69">
        <f>(J48/$B$2)</f>
        <v>0</v>
      </c>
      <c r="L48" s="8">
        <f>SUM('KPI_FY 24-25'!L53,'KPI_FY 24-25'!AH53,'KPI_FY 24-25'!BD53,'KPI_FY 24-25'!BZ53,'KPI_FY 24-25'!CV53,'KPI_FY 24-25'!DR53,'KPI_FY 24-25'!EN53,'KPI_FY 24-25'!FJ53,'KPI_FY 24-25'!GF53,'KPI_FY 24-25'!HB53,'KPI_FY 24-25'!HX53,'KPI_FY 24-25'!IT53)</f>
        <v>0</v>
      </c>
      <c r="M48" s="69">
        <f>(C48/$B$2)</f>
        <v>0.93082191780821921</v>
      </c>
      <c r="N48" s="69">
        <f>((C48-L48)/$B$2)</f>
        <v>0.93082191780821921</v>
      </c>
      <c r="O48" s="6">
        <v>27</v>
      </c>
      <c r="P48" s="149">
        <f>IF((AND(D48=0,F48=0)),0,(F48+L48)/(D48+F48+L48))</f>
        <v>0.22202681908111671</v>
      </c>
      <c r="Q48" s="69">
        <f>(S48/($B$2*O48))</f>
        <v>0.23880432944359886</v>
      </c>
      <c r="R48" s="69">
        <f>(L48/$B$2)</f>
        <v>0</v>
      </c>
      <c r="S48" s="137">
        <f>SUM('KPI_FY 24-25'!T53,'KPI_FY 24-25'!AP53,'KPI_FY 24-25'!BL53,'KPI_FY 24-25'!CH53,'KPI_FY 24-25'!DD53,'KPI_FY 24-25'!DZ53,'KPI_FY 24-25'!EV53,'KPI_FY 24-25'!FR53,'KPI_FY 24-25'!GN53,'KPI_FY 24-25'!HJ53,'KPI_FY 24-25'!IF53,'KPI_FY 24-25'!JB53)</f>
        <v>56482</v>
      </c>
      <c r="T48" s="8">
        <v>27</v>
      </c>
      <c r="U48" s="150">
        <f>SUM(G48,I48,K48,R48,N48)</f>
        <v>1</v>
      </c>
    </row>
    <row r="49" spans="1:25" x14ac:dyDescent="0.25">
      <c r="A49" s="74" t="s">
        <v>61</v>
      </c>
      <c r="B49" s="37" t="s">
        <v>62</v>
      </c>
      <c r="C49" s="8">
        <f>SUM('KPI_FY 24-25'!C54,'KPI_FY 24-25'!Y54,'KPI_FY 24-25'!AU54,'KPI_FY 24-25'!BQ54,'KPI_FY 24-25'!CM54,'KPI_FY 24-25'!DI54,'KPI_FY 24-25'!EE54,'KPI_FY 24-25'!FA54,'KPI_FY 24-25'!FW54,'KPI_FY 24-25'!GS54,'KPI_FY 24-25'!HO54,'KPI_FY 24-25'!IK54)</f>
        <v>7762</v>
      </c>
      <c r="D49" s="8">
        <f>SUM('KPI_FY 24-25'!D54,'KPI_FY 24-25'!Z54,'KPI_FY 24-25'!AV54,'KPI_FY 24-25'!BR54,'KPI_FY 24-25'!CN54,'KPI_FY 24-25'!DJ54,'KPI_FY 24-25'!EF54,'KPI_FY 24-25'!FB54,'KPI_FY 24-25'!FX54,'KPI_FY 24-25'!GT54,'KPI_FY 24-25'!HP54,'KPI_FY 24-25'!IL54)</f>
        <v>1811.3000000000002</v>
      </c>
      <c r="E49" s="8">
        <f>SUM('KPI_FY 24-25'!E54,'KPI_FY 24-25'!AA54,'KPI_FY 24-25'!AW54,'KPI_FY 24-25'!BS54,'KPI_FY 24-25'!CO54,'KPI_FY 24-25'!DK54,'KPI_FY 24-25'!EG54,'KPI_FY 24-25'!FC54,'KPI_FY 24-25'!FY54,'KPI_FY 24-25'!GU54,'KPI_FY 24-25'!HQ54,'KPI_FY 24-25'!IM54)</f>
        <v>5950.7000000000007</v>
      </c>
      <c r="F49" s="8">
        <f>SUM('KPI_FY 24-25'!F54,'KPI_FY 24-25'!AB54,'KPI_FY 24-25'!AX54,'KPI_FY 24-25'!BT54,'KPI_FY 24-25'!CP54,'KPI_FY 24-25'!DL54,'KPI_FY 24-25'!EH54,'KPI_FY 24-25'!FD54,'KPI_FY 24-25'!FZ54,'KPI_FY 24-25'!GV54,'KPI_FY 24-25'!HR54,'KPI_FY 24-25'!IN54)</f>
        <v>998</v>
      </c>
      <c r="G49" s="69">
        <f t="shared" ref="G49:G50" si="53">(F49/$B$2)</f>
        <v>0.11392694063926941</v>
      </c>
      <c r="H49" s="8">
        <f>SUM('KPI_FY 24-25'!H54,'KPI_FY 24-25'!AD54,'KPI_FY 24-25'!AZ54,'KPI_FY 24-25'!BV54,'KPI_FY 24-25'!CR54,'KPI_FY 24-25'!DN54,'KPI_FY 24-25'!EJ54,'KPI_FY 24-25'!FF54,'KPI_FY 24-25'!GB54,'KPI_FY 24-25'!GX54,'KPI_FY 24-25'!HT54,'KPI_FY 24-25'!IP54)</f>
        <v>0</v>
      </c>
      <c r="I49" s="69">
        <f t="shared" ref="I49:I50" si="54">(H49/$B$2)</f>
        <v>0</v>
      </c>
      <c r="J49" s="6">
        <f>SUM('KPI_FY 24-25'!J54,'KPI_FY 24-25'!AF54,'KPI_FY 24-25'!BB54,'KPI_FY 24-25'!BX54,'KPI_FY 24-25'!CT54,'KPI_FY 24-25'!DP54,'KPI_FY 24-25'!EL54,'KPI_FY 24-25'!FH54,'KPI_FY 24-25'!GD54,'KPI_FY 24-25'!GZ54,'KPI_FY 24-25'!HV54,'KPI_FY 24-25'!IR54)</f>
        <v>0</v>
      </c>
      <c r="K49" s="69">
        <f t="shared" ref="K49:K50" si="55">(J49/$B$2)</f>
        <v>0</v>
      </c>
      <c r="L49" s="8">
        <f>SUM('KPI_FY 24-25'!L54,'KPI_FY 24-25'!AH54,'KPI_FY 24-25'!BD54,'KPI_FY 24-25'!BZ54,'KPI_FY 24-25'!CV54,'KPI_FY 24-25'!DR54,'KPI_FY 24-25'!EN54,'KPI_FY 24-25'!FJ54,'KPI_FY 24-25'!GF54,'KPI_FY 24-25'!HB54,'KPI_FY 24-25'!HX54,'KPI_FY 24-25'!IT54)</f>
        <v>0</v>
      </c>
      <c r="M49" s="69">
        <f t="shared" ref="M49:M50" si="56">(C49/$B$2)</f>
        <v>0.88607305936073055</v>
      </c>
      <c r="N49" s="69">
        <f>((C49-L49)/$B$2)</f>
        <v>0.88607305936073055</v>
      </c>
      <c r="O49" s="6">
        <v>27</v>
      </c>
      <c r="P49" s="149">
        <f>IF((AND(D49=0,F49=0)),0,(F49+L49)/(D49+F49+L49))</f>
        <v>0.35524863845085963</v>
      </c>
      <c r="Q49" s="69">
        <f>(S49/($B$2*O49))</f>
        <v>0.20154743784880771</v>
      </c>
      <c r="R49" s="69">
        <f>(L49/$B$2)</f>
        <v>0</v>
      </c>
      <c r="S49" s="137">
        <f>SUM('KPI_FY 24-25'!T54,'KPI_FY 24-25'!AP54,'KPI_FY 24-25'!BL54,'KPI_FY 24-25'!CH54,'KPI_FY 24-25'!DD54,'KPI_FY 24-25'!DZ54,'KPI_FY 24-25'!EV54,'KPI_FY 24-25'!FR54,'KPI_FY 24-25'!GN54,'KPI_FY 24-25'!HJ54,'KPI_FY 24-25'!IF54,'KPI_FY 24-25'!JB54)</f>
        <v>47670</v>
      </c>
      <c r="T49" s="8">
        <v>27</v>
      </c>
      <c r="U49" s="150">
        <f>SUM(G49,I49,K49,R49,N49)</f>
        <v>1</v>
      </c>
      <c r="X49" s="66"/>
      <c r="Y49" s="66"/>
    </row>
    <row r="50" spans="1:25" x14ac:dyDescent="0.25">
      <c r="A50" s="8"/>
      <c r="B50" s="37" t="s">
        <v>63</v>
      </c>
      <c r="C50" s="8">
        <f>SUM('KPI_FY 24-25'!C55,'KPI_FY 24-25'!Y55,'KPI_FY 24-25'!AU55,'KPI_FY 24-25'!BQ55,'KPI_FY 24-25'!CM55,'KPI_FY 24-25'!DI55,'KPI_FY 24-25'!EE55,'KPI_FY 24-25'!FA55,'KPI_FY 24-25'!FW55,'KPI_FY 24-25'!GS55,'KPI_FY 24-25'!HO55,'KPI_FY 24-25'!IK55)</f>
        <v>8544</v>
      </c>
      <c r="D50" s="8">
        <f>SUM('KPI_FY 24-25'!D55,'KPI_FY 24-25'!Z55,'KPI_FY 24-25'!AV55,'KPI_FY 24-25'!BR55,'KPI_FY 24-25'!CN55,'KPI_FY 24-25'!DJ55,'KPI_FY 24-25'!EF55,'KPI_FY 24-25'!FB55,'KPI_FY 24-25'!FX55,'KPI_FY 24-25'!GT55,'KPI_FY 24-25'!HP55,'KPI_FY 24-25'!IL55)</f>
        <v>2141.1</v>
      </c>
      <c r="E50" s="8">
        <f>SUM('KPI_FY 24-25'!E55,'KPI_FY 24-25'!AA55,'KPI_FY 24-25'!AW55,'KPI_FY 24-25'!BS55,'KPI_FY 24-25'!CO55,'KPI_FY 24-25'!DK55,'KPI_FY 24-25'!EG55,'KPI_FY 24-25'!FC55,'KPI_FY 24-25'!FY55,'KPI_FY 24-25'!GU55,'KPI_FY 24-25'!HQ55,'KPI_FY 24-25'!IM55)</f>
        <v>6402.9000000000005</v>
      </c>
      <c r="F50" s="8">
        <f>SUM('KPI_FY 24-25'!F55,'KPI_FY 24-25'!AB55,'KPI_FY 24-25'!AX55,'KPI_FY 24-25'!BT55,'KPI_FY 24-25'!CP55,'KPI_FY 24-25'!DL55,'KPI_FY 24-25'!EH55,'KPI_FY 24-25'!FD55,'KPI_FY 24-25'!FZ55,'KPI_FY 24-25'!GV55,'KPI_FY 24-25'!HR55,'KPI_FY 24-25'!IN55)</f>
        <v>216</v>
      </c>
      <c r="G50" s="69">
        <f t="shared" si="53"/>
        <v>2.4657534246575342E-2</v>
      </c>
      <c r="H50" s="8">
        <f>SUM('KPI_FY 24-25'!H55,'KPI_FY 24-25'!AD55,'KPI_FY 24-25'!AZ55,'KPI_FY 24-25'!BV55,'KPI_FY 24-25'!CR55,'KPI_FY 24-25'!DN55,'KPI_FY 24-25'!EJ55,'KPI_FY 24-25'!FF55,'KPI_FY 24-25'!GB55,'KPI_FY 24-25'!GX55,'KPI_FY 24-25'!HT55,'KPI_FY 24-25'!IP55)</f>
        <v>0</v>
      </c>
      <c r="I50" s="69">
        <f t="shared" si="54"/>
        <v>0</v>
      </c>
      <c r="J50" s="6">
        <f>SUM('KPI_FY 24-25'!J55,'KPI_FY 24-25'!AF55,'KPI_FY 24-25'!BB55,'KPI_FY 24-25'!BX55,'KPI_FY 24-25'!CT55,'KPI_FY 24-25'!DP55,'KPI_FY 24-25'!EL55,'KPI_FY 24-25'!FH55,'KPI_FY 24-25'!GD55,'KPI_FY 24-25'!GZ55,'KPI_FY 24-25'!HV55,'KPI_FY 24-25'!IR55)</f>
        <v>0</v>
      </c>
      <c r="K50" s="69">
        <f t="shared" si="55"/>
        <v>0</v>
      </c>
      <c r="L50" s="8">
        <f>SUM('KPI_FY 24-25'!L55,'KPI_FY 24-25'!AH55,'KPI_FY 24-25'!BD55,'KPI_FY 24-25'!BZ55,'KPI_FY 24-25'!CV55,'KPI_FY 24-25'!DR55,'KPI_FY 24-25'!EN55,'KPI_FY 24-25'!FJ55,'KPI_FY 24-25'!GF55,'KPI_FY 24-25'!HB55,'KPI_FY 24-25'!HX55,'KPI_FY 24-25'!IT55)</f>
        <v>0</v>
      </c>
      <c r="M50" s="69">
        <f t="shared" si="56"/>
        <v>0.97534246575342465</v>
      </c>
      <c r="N50" s="69">
        <f>((C50-L50)/$B$2)</f>
        <v>0.97534246575342465</v>
      </c>
      <c r="O50" s="6">
        <v>26</v>
      </c>
      <c r="P50" s="149">
        <f>IF((AND(D50=0,F50=0)),0,(F50+L50)/(D50+F50+L50))</f>
        <v>9.1638029782359687E-2</v>
      </c>
      <c r="Q50" s="69">
        <f>(S50/($B$2*O50))</f>
        <v>0.21393133122585178</v>
      </c>
      <c r="R50" s="69">
        <f>(L50/$B$2)</f>
        <v>0</v>
      </c>
      <c r="S50" s="137">
        <f>SUM('KPI_FY 24-25'!T55,'KPI_FY 24-25'!AP55,'KPI_FY 24-25'!BL55,'KPI_FY 24-25'!CH55,'KPI_FY 24-25'!DD55,'KPI_FY 24-25'!DZ55,'KPI_FY 24-25'!EV55,'KPI_FY 24-25'!FR55,'KPI_FY 24-25'!GN55,'KPI_FY 24-25'!HJ55,'KPI_FY 24-25'!IF55,'KPI_FY 24-25'!JB55)</f>
        <v>48725</v>
      </c>
      <c r="T50" s="8">
        <v>27</v>
      </c>
      <c r="U50" s="150">
        <f>SUM(G50,I50,K50,R50,N50)</f>
        <v>1</v>
      </c>
      <c r="W50" s="64"/>
      <c r="X50" s="15"/>
      <c r="Y50" s="15"/>
    </row>
    <row r="51" spans="1:25" x14ac:dyDescent="0.25">
      <c r="A51" s="8"/>
      <c r="B51" s="191" t="s">
        <v>39</v>
      </c>
      <c r="C51" s="29">
        <f>SUM(C48:C50)</f>
        <v>24460</v>
      </c>
      <c r="D51" s="29">
        <f t="shared" ref="D51:L51" si="57">SUM(D48:D50)</f>
        <v>6075.8</v>
      </c>
      <c r="E51" s="29">
        <f t="shared" si="57"/>
        <v>18384.2</v>
      </c>
      <c r="F51" s="29">
        <f t="shared" si="57"/>
        <v>1820</v>
      </c>
      <c r="G51" s="79">
        <f>(G48*$O$48+G49*$O$49+G50*$O$50)/$O$51</f>
        <v>6.9811643835616444E-2</v>
      </c>
      <c r="H51" s="29">
        <f t="shared" si="57"/>
        <v>0</v>
      </c>
      <c r="I51" s="79">
        <f>(I48*$O$48+I49*$O$49+I50*$O$50)/$O$51</f>
        <v>0</v>
      </c>
      <c r="J51" s="29">
        <f t="shared" ref="J51" si="58">SUM(J48:J50)</f>
        <v>0</v>
      </c>
      <c r="K51" s="79">
        <f>(K48*$O$48+K49*$O$49+K50*$O$50)/$O$51</f>
        <v>0</v>
      </c>
      <c r="L51" s="29">
        <f t="shared" si="57"/>
        <v>0</v>
      </c>
      <c r="M51" s="79">
        <f>(M48*$O$48+M49*$O$49+M50*$O$50)/$O$51</f>
        <v>0.93018835616438356</v>
      </c>
      <c r="N51" s="209">
        <f>(N48*$O$48+N49*$O$49+N50*$O$50)/$O$51</f>
        <v>0.93018835616438356</v>
      </c>
      <c r="O51" s="30">
        <f>SUM(O48:O50)</f>
        <v>80</v>
      </c>
      <c r="P51" s="79">
        <f>(P48*$O$48+P49*$O$49+P50*$O$50)/$O$51</f>
        <v>0.22461282659630893</v>
      </c>
      <c r="Q51" s="79">
        <f>(Q48*$O$48+Q49*$O$49+Q50*$O$50)/$O$51</f>
        <v>0.21814640410958902</v>
      </c>
      <c r="R51" s="79">
        <f>(R48*$O$48+R49*$O$49+R50*$O$50)/$O$51</f>
        <v>0</v>
      </c>
      <c r="S51" s="188">
        <f>SUM(S48:S50)</f>
        <v>152877</v>
      </c>
      <c r="T51" s="29">
        <f>SUM(T48:T50)</f>
        <v>81</v>
      </c>
      <c r="U51" s="151"/>
    </row>
    <row r="52" spans="1:25" x14ac:dyDescent="0.25">
      <c r="A52" s="74" t="s">
        <v>64</v>
      </c>
      <c r="B52" s="37" t="s">
        <v>65</v>
      </c>
      <c r="C52" s="8">
        <v>8432.7799999999988</v>
      </c>
      <c r="D52" s="8">
        <f>SUM('KPI_FY 24-25'!D57,'KPI_FY 24-25'!Z57,'KPI_FY 24-25'!AV57,'KPI_FY 24-25'!BR57,'KPI_FY 24-25'!CN57,'KPI_FY 24-25'!DJ57,'KPI_FY 24-25'!EF57,'KPI_FY 24-25'!FB57,'KPI_FY 24-25'!FX57,'KPI_FY 24-25'!GT57,'KPI_FY 24-25'!HP57,'KPI_FY 24-25'!IL57)</f>
        <v>4102.8100000000004</v>
      </c>
      <c r="E52" s="8">
        <f>SUM('KPI_FY 24-25'!E57,'KPI_FY 24-25'!AA57,'KPI_FY 24-25'!AW57,'KPI_FY 24-25'!BS57,'KPI_FY 24-25'!CO57,'KPI_FY 24-25'!DK57,'KPI_FY 24-25'!EG57,'KPI_FY 24-25'!FC57,'KPI_FY 24-25'!FY57,'KPI_FY 24-25'!GU57,'KPI_FY 24-25'!HQ57,'KPI_FY 24-25'!IM57)</f>
        <v>4330.0099999999993</v>
      </c>
      <c r="F52" s="8">
        <v>83.050000000000011</v>
      </c>
      <c r="G52" s="69">
        <f>(F52/$B$2)</f>
        <v>9.4805936073059371E-3</v>
      </c>
      <c r="H52" s="8">
        <f>SUM('KPI_FY 24-25'!H57,'KPI_FY 24-25'!AD57,'KPI_FY 24-25'!AZ57,'KPI_FY 24-25'!BV57,'KPI_FY 24-25'!CR57,'KPI_FY 24-25'!DN57,'KPI_FY 24-25'!EJ57,'KPI_FY 24-25'!FF57,'KPI_FY 24-25'!GB57,'KPI_FY 24-25'!GX57,'KPI_FY 24-25'!HT57,'KPI_FY 24-25'!IP57)</f>
        <v>231.82</v>
      </c>
      <c r="I52" s="69">
        <f>(H52/$B$2)</f>
        <v>2.6463470319634703E-2</v>
      </c>
      <c r="J52" s="6">
        <f>SUM('KPI_FY 24-25'!J57,'KPI_FY 24-25'!AF57,'KPI_FY 24-25'!BB57,'KPI_FY 24-25'!BX57,'KPI_FY 24-25'!CT57,'KPI_FY 24-25'!DP57,'KPI_FY 24-25'!EL57,'KPI_FY 24-25'!FH57,'KPI_FY 24-25'!GD57,'KPI_FY 24-25'!GZ57,'KPI_FY 24-25'!HV57,'KPI_FY 24-25'!IR57)</f>
        <v>12.42</v>
      </c>
      <c r="K52" s="69">
        <f>(J52/$B$2)</f>
        <v>1.4178082191780822E-3</v>
      </c>
      <c r="L52" s="8">
        <f>SUM('KPI_FY 24-25'!L57,'KPI_FY 24-25'!AH57,'KPI_FY 24-25'!BD57,'KPI_FY 24-25'!BZ57,'KPI_FY 24-25'!CV57,'KPI_FY 24-25'!DR57,'KPI_FY 24-25'!EN57,'KPI_FY 24-25'!FJ57,'KPI_FY 24-25'!GF57,'KPI_FY 24-25'!HB57,'KPI_FY 24-25'!HX57,'KPI_FY 24-25'!IT57)</f>
        <v>0</v>
      </c>
      <c r="M52" s="69">
        <f>(C52/$B$2)</f>
        <v>0.96264611872146111</v>
      </c>
      <c r="N52" s="69">
        <f>((C52-L52)/$B$2)</f>
        <v>0.96264611872146111</v>
      </c>
      <c r="O52" s="6">
        <v>77</v>
      </c>
      <c r="P52" s="149">
        <f>IF((AND(D52=0,F52=0)),0,(F52+L52)/(D52+F52+L52))</f>
        <v>1.9840606231455424E-2</v>
      </c>
      <c r="Q52" s="69">
        <f>(S52/($B$2*O52))</f>
        <v>0.34216479867164801</v>
      </c>
      <c r="R52" s="69">
        <f>(L52/$B$2)</f>
        <v>0</v>
      </c>
      <c r="S52" s="137">
        <f>SUM('KPI_FY 24-25'!T57,'KPI_FY 24-25'!AP57,'KPI_FY 24-25'!BL57,'KPI_FY 24-25'!CH57,'KPI_FY 24-25'!DD57,'KPI_FY 24-25'!DZ57,'KPI_FY 24-25'!EV57,'KPI_FY 24-25'!FR57,'KPI_FY 24-25'!GN57,'KPI_FY 24-25'!HJ57,'KPI_FY 24-25'!IF57,'KPI_FY 24-25'!JB57)</f>
        <v>230797</v>
      </c>
      <c r="T52" s="8">
        <v>82.5</v>
      </c>
      <c r="U52" s="150">
        <f>SUM(G52,I52,K52,R52,N52)</f>
        <v>1.0000079908675799</v>
      </c>
    </row>
    <row r="53" spans="1:25" x14ac:dyDescent="0.25">
      <c r="A53" s="8"/>
      <c r="B53" s="37" t="s">
        <v>66</v>
      </c>
      <c r="C53" s="8">
        <v>7493.02</v>
      </c>
      <c r="D53" s="8">
        <f>SUM('KPI_FY 24-25'!D58,'KPI_FY 24-25'!Z58,'KPI_FY 24-25'!AV58,'KPI_FY 24-25'!BR58,'KPI_FY 24-25'!CN58,'KPI_FY 24-25'!DJ58,'KPI_FY 24-25'!EF58,'KPI_FY 24-25'!FB58,'KPI_FY 24-25'!FX58,'KPI_FY 24-25'!GT58,'KPI_FY 24-25'!HP58,'KPI_FY 24-25'!IL58)</f>
        <v>3508.4900000000007</v>
      </c>
      <c r="E53" s="8">
        <f>SUM('KPI_FY 24-25'!E58,'KPI_FY 24-25'!AA58,'KPI_FY 24-25'!AW58,'KPI_FY 24-25'!BS58,'KPI_FY 24-25'!CO58,'KPI_FY 24-25'!DK58,'KPI_FY 24-25'!EG58,'KPI_FY 24-25'!FC58,'KPI_FY 24-25'!FY58,'KPI_FY 24-25'!GU58,'KPI_FY 24-25'!HQ58,'KPI_FY 24-25'!IM58)</f>
        <v>3984.2000000000003</v>
      </c>
      <c r="F53" s="8">
        <v>1049.21</v>
      </c>
      <c r="G53" s="69">
        <f>(F53/$B$2)</f>
        <v>0.11977283105022832</v>
      </c>
      <c r="H53" s="8">
        <f>SUM('KPI_FY 24-25'!H58,'KPI_FY 24-25'!AD58,'KPI_FY 24-25'!AZ58,'KPI_FY 24-25'!BV58,'KPI_FY 24-25'!CR58,'KPI_FY 24-25'!DN58,'KPI_FY 24-25'!EJ58,'KPI_FY 24-25'!FF58,'KPI_FY 24-25'!GB58,'KPI_FY 24-25'!GX58,'KPI_FY 24-25'!HT58,'KPI_FY 24-25'!IP58)</f>
        <v>192.89999999999998</v>
      </c>
      <c r="I53" s="69">
        <f>(H53/$B$2)</f>
        <v>2.2020547945205478E-2</v>
      </c>
      <c r="J53" s="6">
        <f>SUM('KPI_FY 24-25'!J58,'KPI_FY 24-25'!AF58,'KPI_FY 24-25'!BB58,'KPI_FY 24-25'!BX58,'KPI_FY 24-25'!CT58,'KPI_FY 24-25'!DP58,'KPI_FY 24-25'!EL58,'KPI_FY 24-25'!FH58,'KPI_FY 24-25'!GD58,'KPI_FY 24-25'!GZ58,'KPI_FY 24-25'!HV58,'KPI_FY 24-25'!IR58)</f>
        <v>25.200000000000003</v>
      </c>
      <c r="K53" s="69">
        <f>(J53/$B$2)</f>
        <v>2.8767123287671238E-3</v>
      </c>
      <c r="L53" s="8">
        <f>SUM('KPI_FY 24-25'!L58,'KPI_FY 24-25'!AH58,'KPI_FY 24-25'!BD58,'KPI_FY 24-25'!BZ58,'KPI_FY 24-25'!CV58,'KPI_FY 24-25'!DR58,'KPI_FY 24-25'!EN58,'KPI_FY 24-25'!FJ58,'KPI_FY 24-25'!GF58,'KPI_FY 24-25'!HB58,'KPI_FY 24-25'!HX58,'KPI_FY 24-25'!IT58)</f>
        <v>0</v>
      </c>
      <c r="M53" s="69">
        <f>(C53/$B$2)</f>
        <v>0.85536757990867585</v>
      </c>
      <c r="N53" s="69">
        <f>((C53-L53)/$B$2)</f>
        <v>0.85536757990867585</v>
      </c>
      <c r="O53" s="6">
        <v>74.599999999999994</v>
      </c>
      <c r="P53" s="149">
        <f>IF((AND(D53=0,F53=0)),0,(F53+L53)/(D53+F53+L53))</f>
        <v>0.23020602496873421</v>
      </c>
      <c r="Q53" s="69">
        <f>(S53/($B$2*O53))</f>
        <v>0.29514029160086674</v>
      </c>
      <c r="R53" s="69">
        <f>(L53/$B$2)</f>
        <v>0</v>
      </c>
      <c r="S53" s="137">
        <f>SUM('KPI_FY 24-25'!T58,'KPI_FY 24-25'!AP58,'KPI_FY 24-25'!BL58,'KPI_FY 24-25'!CH58,'KPI_FY 24-25'!DD58,'KPI_FY 24-25'!DZ58,'KPI_FY 24-25'!EV58,'KPI_FY 24-25'!FR58,'KPI_FY 24-25'!GN58,'KPI_FY 24-25'!HJ58,'KPI_FY 24-25'!IF58,'KPI_FY 24-25'!JB58)</f>
        <v>192873</v>
      </c>
      <c r="T53" s="8">
        <v>82.5</v>
      </c>
      <c r="U53" s="150">
        <f>SUM(G53,I53,K53,R53,N53)</f>
        <v>1.0000376712328767</v>
      </c>
    </row>
    <row r="54" spans="1:25" x14ac:dyDescent="0.25">
      <c r="A54" s="8"/>
      <c r="B54" s="190" t="s">
        <v>39</v>
      </c>
      <c r="C54" s="29">
        <f>SUM(C52:C53)</f>
        <v>15925.8</v>
      </c>
      <c r="D54" s="29">
        <f t="shared" ref="D54:F54" si="59">SUM(D52:D53)</f>
        <v>7611.3000000000011</v>
      </c>
      <c r="E54" s="29">
        <f t="shared" si="59"/>
        <v>8314.2099999999991</v>
      </c>
      <c r="F54" s="29">
        <f t="shared" si="59"/>
        <v>1132.26</v>
      </c>
      <c r="G54" s="79">
        <f>(G52*$O$52+G53*$O$53)/$O$54</f>
        <v>6.3753686702569839E-2</v>
      </c>
      <c r="H54" s="29">
        <f t="shared" ref="H54:J54" si="60">SUM(H52:H53)</f>
        <v>424.71999999999997</v>
      </c>
      <c r="I54" s="79">
        <f>(I52*$O$52+I53*$O$53)/$O$54</f>
        <v>2.427717738340502E-2</v>
      </c>
      <c r="J54" s="29">
        <f t="shared" si="60"/>
        <v>37.620000000000005</v>
      </c>
      <c r="K54" s="79">
        <f>(K52*$O$52+K53*$O$53)/$O$54</f>
        <v>2.135712220334695E-3</v>
      </c>
      <c r="L54" s="29">
        <f t="shared" ref="L54" si="61">SUM(L52:L53)</f>
        <v>0</v>
      </c>
      <c r="M54" s="79">
        <f>(M52*$O$52+M53*$O$53)/$O$54</f>
        <v>0.90985601980699027</v>
      </c>
      <c r="N54" s="209">
        <f>(N52*$O$52+N53*$O$53)/$O$54</f>
        <v>0.90985601980699027</v>
      </c>
      <c r="O54" s="30">
        <f>SUM(O52:O53)</f>
        <v>151.6</v>
      </c>
      <c r="P54" s="79">
        <f>(P52*$O$52+P53*$O$53)/$O$54</f>
        <v>0.12335815397420605</v>
      </c>
      <c r="Q54" s="79">
        <f>(Q52*$O$52+Q53*$O$53)/$O$54</f>
        <v>0.31902477078589414</v>
      </c>
      <c r="R54" s="79">
        <f>(R52*$O$52+R53*$O$53)/$O$54</f>
        <v>0</v>
      </c>
      <c r="S54" s="62">
        <f>SUM(S52:S53)</f>
        <v>423670</v>
      </c>
      <c r="T54" s="29">
        <f>SUM(T52:T53)</f>
        <v>165</v>
      </c>
      <c r="U54" s="151"/>
    </row>
    <row r="55" spans="1:25" x14ac:dyDescent="0.25">
      <c r="A55" s="74" t="s">
        <v>67</v>
      </c>
      <c r="B55" s="37" t="s">
        <v>68</v>
      </c>
      <c r="C55" s="8">
        <f>SUM('KPI_FY 24-25'!C60,'KPI_FY 24-25'!Y60,'KPI_FY 24-25'!AU60,'KPI_FY 24-25'!BQ60,'KPI_FY 24-25'!CM60,'KPI_FY 24-25'!DI60,'KPI_FY 24-25'!EE60,'KPI_FY 24-25'!FA60,'KPI_FY 24-25'!FW60,'KPI_FY 24-25'!GS60,'KPI_FY 24-25'!HO60,'KPI_FY 24-25'!IK60)</f>
        <v>5346.5</v>
      </c>
      <c r="D55" s="8">
        <f>SUM('KPI_FY 24-25'!D60,'KPI_FY 24-25'!Z60,'KPI_FY 24-25'!AV60,'KPI_FY 24-25'!BR60,'KPI_FY 24-25'!CN60,'KPI_FY 24-25'!DJ60,'KPI_FY 24-25'!EF60,'KPI_FY 24-25'!FB60,'KPI_FY 24-25'!FX60,'KPI_FY 24-25'!GT60,'KPI_FY 24-25'!HP60,'KPI_FY 24-25'!IL60)</f>
        <v>2575.5499999999997</v>
      </c>
      <c r="E55" s="8">
        <f>SUM('KPI_FY 24-25'!E60,'KPI_FY 24-25'!AA60,'KPI_FY 24-25'!AW60,'KPI_FY 24-25'!BS60,'KPI_FY 24-25'!CO60,'KPI_FY 24-25'!DK60,'KPI_FY 24-25'!EG60,'KPI_FY 24-25'!FC60,'KPI_FY 24-25'!FY61,'KPI_FY 24-25'!GU60,'KPI_FY 24-25'!HQ60,'KPI_FY 24-25'!IM60)</f>
        <v>3251.3500000000004</v>
      </c>
      <c r="F55" s="6">
        <f>SUM('KPI_FY 24-25'!F60,'KPI_FY 24-25'!AB60,'KPI_FY 24-25'!AX60,'KPI_FY 24-25'!BT60,'KPI_FY 24-25'!CP60,'KPI_FY 24-25'!DL60,'KPI_FY 24-25'!EH60,'KPI_FY 24-25'!FD60,'KPI_FY 24-25'!FZ60,'KPI_FY 24-25'!GV60,'KPI_FY 24-25'!HR60,'KPI_FY 24-25'!IN60)</f>
        <v>3397.5</v>
      </c>
      <c r="G55" s="69">
        <f>(F55/$B$2)</f>
        <v>0.38784246575342468</v>
      </c>
      <c r="H55" s="6">
        <f>SUM('KPI_FY 24-25'!H60,'KPI_FY 24-25'!AD60,'KPI_FY 24-25'!AZ60,'KPI_FY 24-25'!BV60,'KPI_FY 24-25'!CR60,'KPI_FY 24-25'!DN60,'KPI_FY 24-25'!EJ60,'KPI_FY 24-25'!FF60,'KPI_FY 24-25'!GB60,'KPI_FY 24-25'!GX60,'KPI_FY 24-25'!HT60,'KPI_FY 24-25'!IP60)</f>
        <v>0</v>
      </c>
      <c r="I55" s="69">
        <f>(H55/$B$2)</f>
        <v>0</v>
      </c>
      <c r="J55" s="6">
        <f>SUM('KPI_FY 24-25'!J60,'KPI_FY 24-25'!AF60,'KPI_FY 24-25'!BB60,'KPI_FY 24-25'!BX60,'KPI_FY 24-25'!CT60,'KPI_FY 24-25'!DP60,'KPI_FY 24-25'!EL60,'KPI_FY 24-25'!FH60,'KPI_FY 24-25'!GD60,'KPI_FY 24-25'!GZ60,'KPI_FY 24-25'!HV60,'KPI_FY 24-25'!IR60)</f>
        <v>16</v>
      </c>
      <c r="K55" s="69">
        <f>(J55/$B$2)</f>
        <v>1.8264840182648401E-3</v>
      </c>
      <c r="L55" s="8">
        <f>SUM('KPI_FY 24-25'!L60,'KPI_FY 24-25'!AH60,'KPI_FY 24-25'!BD60,'KPI_FY 24-25'!BZ60,'KPI_FY 24-25'!CV60,'KPI_FY 24-25'!DR60,'KPI_FY 24-25'!EN60,'KPI_FY 24-25'!FJ60,'KPI_FY 24-25'!GF60,'KPI_FY 24-25'!HB60,'KPI_FY 24-25'!HX60,'KPI_FY 24-25'!IT60)</f>
        <v>0</v>
      </c>
      <c r="M55" s="69">
        <f>(C55/$B$2)</f>
        <v>0.61033105022831047</v>
      </c>
      <c r="N55" s="69">
        <f>((C55-L55)/$B$2)</f>
        <v>0.61033105022831047</v>
      </c>
      <c r="O55" s="6">
        <v>47.7</v>
      </c>
      <c r="P55" s="149">
        <f>IF((AND(D55=0,F55=0)),0,(F55+L55)/(D55+F55+L55))</f>
        <v>0.56880488192799328</v>
      </c>
      <c r="Q55" s="69">
        <f>(S55/($B$2*O55))</f>
        <v>0.26548849831997934</v>
      </c>
      <c r="R55" s="69">
        <f>(L55/$B$2)</f>
        <v>0</v>
      </c>
      <c r="S55" s="137">
        <f>SUM('KPI_FY 24-25'!T60,'KPI_FY 24-25'!AP60,'KPI_FY 24-25'!BL60,'KPI_FY 24-25'!CH60,'KPI_FY 24-25'!DD60,'KPI_FY 24-25'!DZ60,'KPI_FY 24-25'!EV60,'KPI_FY 24-25'!FR60,'KPI_FY 24-25'!GN60,'KPI_FY 24-25'!HJ60,'KPI_FY 24-25'!IF60,'KPI_FY 24-25'!JB60)</f>
        <v>110934.90000000001</v>
      </c>
      <c r="T55" s="8">
        <v>55</v>
      </c>
      <c r="U55" s="150">
        <f>SUM(G55,I55,K55,R55,N55)</f>
        <v>1</v>
      </c>
    </row>
    <row r="56" spans="1:25" x14ac:dyDescent="0.25">
      <c r="A56" s="8"/>
      <c r="B56" s="37" t="s">
        <v>65</v>
      </c>
      <c r="C56" s="8">
        <f>SUM('KPI_FY 24-25'!C61,'KPI_FY 24-25'!Y61,'KPI_FY 24-25'!AU61,'KPI_FY 24-25'!BQ61,'KPI_FY 24-25'!CM61,'KPI_FY 24-25'!DI61,'KPI_FY 24-25'!EE61,'KPI_FY 24-25'!FA61,'KPI_FY 24-25'!FW61,'KPI_FY 24-25'!GS61,'KPI_FY 24-25'!HO61,'KPI_FY 24-25'!IK61)</f>
        <v>8485.35</v>
      </c>
      <c r="D56" s="8">
        <f>SUM('KPI_FY 24-25'!D61,'KPI_FY 24-25'!Z61,'KPI_FY 24-25'!AV61,'KPI_FY 24-25'!BR61,'KPI_FY 24-25'!CN61,'KPI_FY 24-25'!DJ61,'KPI_FY 24-25'!EF61,'KPI_FY 24-25'!FB61,'KPI_FY 24-25'!FX61,'KPI_FY 24-25'!GT61,'KPI_FY 24-25'!HP61,'KPI_FY 24-25'!IL61)</f>
        <v>3167.0999999999995</v>
      </c>
      <c r="E56" s="8">
        <f>SUM('KPI_FY 24-25'!E61,'KPI_FY 24-25'!AA61,'KPI_FY 24-25'!AW61,'KPI_FY 24-25'!BS61,'KPI_FY 24-25'!CO61,'KPI_FY 24-25'!DK61,'KPI_FY 24-25'!EG61,'KPI_FY 24-25'!FC61,'KPI_FY 24-25'!FY62,'KPI_FY 24-25'!GU61,'KPI_FY 24-25'!HQ61,'KPI_FY 24-25'!IM61)</f>
        <v>5111.55</v>
      </c>
      <c r="F56" s="6">
        <f>SUM('KPI_FY 24-25'!F61,'KPI_FY 24-25'!AB61,'KPI_FY 24-25'!AX61,'KPI_FY 24-25'!BT61,'KPI_FY 24-25'!CP61,'KPI_FY 24-25'!DL61,'KPI_FY 24-25'!EH61,'KPI_FY 24-25'!FD61,'KPI_FY 24-25'!FZ61,'KPI_FY 24-25'!GV61,'KPI_FY 24-25'!HR61,'KPI_FY 24-25'!IN61)</f>
        <v>53.5</v>
      </c>
      <c r="G56" s="69">
        <f t="shared" ref="G56:G58" si="62">(F56/$B$2)</f>
        <v>6.1073059360730597E-3</v>
      </c>
      <c r="H56" s="6">
        <f>SUM('KPI_FY 24-25'!H61,'KPI_FY 24-25'!AD61,'KPI_FY 24-25'!AZ61,'KPI_FY 24-25'!BV61,'KPI_FY 24-25'!CR61,'KPI_FY 24-25'!DN61,'KPI_FY 24-25'!EJ61,'KPI_FY 24-25'!FF61,'KPI_FY 24-25'!GB61,'KPI_FY 24-25'!GX61,'KPI_FY 24-25'!HT61,'KPI_FY 24-25'!IP61)</f>
        <v>16.399999999999999</v>
      </c>
      <c r="I56" s="69">
        <f t="shared" ref="I56:I58" si="63">(H56/$B$2)</f>
        <v>1.8721461187214609E-3</v>
      </c>
      <c r="J56" s="6">
        <f>SUM('KPI_FY 24-25'!J61,'KPI_FY 24-25'!AF61,'KPI_FY 24-25'!BB61,'KPI_FY 24-25'!BX61,'KPI_FY 24-25'!CT61,'KPI_FY 24-25'!DP61,'KPI_FY 24-25'!EL61,'KPI_FY 24-25'!FH61,'KPI_FY 24-25'!GD61,'KPI_FY 24-25'!GZ61,'KPI_FY 24-25'!HV61,'KPI_FY 24-25'!IR61)</f>
        <v>204.75</v>
      </c>
      <c r="K56" s="69">
        <f t="shared" ref="K56:K58" si="64">(J56/$B$2)</f>
        <v>2.3373287671232878E-2</v>
      </c>
      <c r="L56" s="8">
        <f>SUM('KPI_FY 24-25'!L61,'KPI_FY 24-25'!AH61,'KPI_FY 24-25'!BD61,'KPI_FY 24-25'!BZ61,'KPI_FY 24-25'!CV61,'KPI_FY 24-25'!DR61,'KPI_FY 24-25'!EN61,'KPI_FY 24-25'!FJ61,'KPI_FY 24-25'!GF61,'KPI_FY 24-25'!HB61,'KPI_FY 24-25'!HX61,'KPI_FY 24-25'!IT61)</f>
        <v>0</v>
      </c>
      <c r="M56" s="69">
        <f t="shared" ref="M56:M58" si="65">(C56/$B$2)</f>
        <v>0.96864726027397263</v>
      </c>
      <c r="N56" s="69">
        <f>((C56-L56)/$B$2)</f>
        <v>0.96864726027397263</v>
      </c>
      <c r="O56" s="6">
        <v>49</v>
      </c>
      <c r="P56" s="149">
        <f>IF((AND(D56=0,F56=0)),0,(F56+L56)/(D56+F56+L56))</f>
        <v>1.6611811463702417E-2</v>
      </c>
      <c r="Q56" s="69">
        <f>(S56/($B$2*O56))</f>
        <v>0.32528375733855192</v>
      </c>
      <c r="R56" s="69">
        <f>(L56/$B$2)</f>
        <v>0</v>
      </c>
      <c r="S56" s="137">
        <f>SUM('KPI_FY 24-25'!T61,'KPI_FY 24-25'!AP61,'KPI_FY 24-25'!BL61,'KPI_FY 24-25'!CH61,'KPI_FY 24-25'!DD61,'KPI_FY 24-25'!DZ61,'KPI_FY 24-25'!EV61,'KPI_FY 24-25'!FR61,'KPI_FY 24-25'!GN61,'KPI_FY 24-25'!HJ61,'KPI_FY 24-25'!IF61,'KPI_FY 24-25'!JB61)</f>
        <v>139624.80000000002</v>
      </c>
      <c r="T56" s="8">
        <v>55</v>
      </c>
      <c r="U56" s="150">
        <f>SUM(G56,I56,K56,R56,N56)</f>
        <v>1</v>
      </c>
    </row>
    <row r="57" spans="1:25" x14ac:dyDescent="0.25">
      <c r="A57" s="8"/>
      <c r="B57" s="8">
        <v>3</v>
      </c>
      <c r="C57" s="8">
        <f>SUM('KPI_FY 24-25'!C62,'KPI_FY 24-25'!Y62,'KPI_FY 24-25'!AU62,'KPI_FY 24-25'!BQ62,'KPI_FY 24-25'!CM62,'KPI_FY 24-25'!DI62,'KPI_FY 24-25'!EE62,'KPI_FY 24-25'!FA62,'KPI_FY 24-25'!FW62,'KPI_FY 24-25'!GS62,'KPI_FY 24-25'!HO62,'KPI_FY 24-25'!IK62)</f>
        <v>4120.3500000000004</v>
      </c>
      <c r="D57" s="8">
        <f>SUM('KPI_FY 24-25'!D62,'KPI_FY 24-25'!Z62,'KPI_FY 24-25'!AV62,'KPI_FY 24-25'!BR62,'KPI_FY 24-25'!CN62,'KPI_FY 24-25'!DJ62,'KPI_FY 24-25'!EF62,'KPI_FY 24-25'!FB62,'KPI_FY 24-25'!FX62,'KPI_FY 24-25'!GT62,'KPI_FY 24-25'!HP62,'KPI_FY 24-25'!IL62)</f>
        <v>1320.2000000000003</v>
      </c>
      <c r="E57" s="8">
        <f>SUM('KPI_FY 24-25'!E62,'KPI_FY 24-25'!AA62,'KPI_FY 24-25'!AW62,'KPI_FY 24-25'!BS62,'KPI_FY 24-25'!CO62,'KPI_FY 24-25'!DK62,'KPI_FY 24-25'!EG62,'KPI_FY 24-25'!FC62,'KPI_FY 24-25'!FY63,'KPI_FY 24-25'!GU62,'KPI_FY 24-25'!HQ62,'KPI_FY 24-25'!IM62)</f>
        <v>2793.45</v>
      </c>
      <c r="F57" s="6">
        <f>SUM('KPI_FY 24-25'!F62,'KPI_FY 24-25'!AB62,'KPI_FY 24-25'!AX62,'KPI_FY 24-25'!BT62,'KPI_FY 24-25'!CP62,'KPI_FY 24-25'!DL62,'KPI_FY 24-25'!EH62,'KPI_FY 24-25'!FD62,'KPI_FY 24-25'!FZ62,'KPI_FY 24-25'!GV62,'KPI_FY 24-25'!HR62,'KPI_FY 24-25'!IN62)</f>
        <v>4502.2749999999996</v>
      </c>
      <c r="G57" s="69">
        <f t="shared" si="62"/>
        <v>0.51395833333333329</v>
      </c>
      <c r="H57" s="6">
        <f>SUM('KPI_FY 24-25'!H62,'KPI_FY 24-25'!AD62,'KPI_FY 24-25'!AZ62,'KPI_FY 24-25'!BV62,'KPI_FY 24-25'!CR62,'KPI_FY 24-25'!DN62,'KPI_FY 24-25'!EJ62,'KPI_FY 24-25'!FF62,'KPI_FY 24-25'!GB62,'KPI_FY 24-25'!GX62,'KPI_FY 24-25'!HT62,'KPI_FY 24-25'!IP62)</f>
        <v>130</v>
      </c>
      <c r="I57" s="69">
        <f t="shared" si="63"/>
        <v>1.4840182648401826E-2</v>
      </c>
      <c r="J57" s="6">
        <f>SUM('KPI_FY 24-25'!J62,'KPI_FY 24-25'!AF62,'KPI_FY 24-25'!BB62,'KPI_FY 24-25'!BX62,'KPI_FY 24-25'!CT62,'KPI_FY 24-25'!DP62,'KPI_FY 24-25'!EL62,'KPI_FY 24-25'!FH62,'KPI_FY 24-25'!GD62,'KPI_FY 24-25'!GZ62,'KPI_FY 24-25'!HV62,'KPI_FY 24-25'!IR62)</f>
        <v>7.375</v>
      </c>
      <c r="K57" s="69">
        <f t="shared" si="64"/>
        <v>8.4189497716894975E-4</v>
      </c>
      <c r="L57" s="8">
        <f>SUM('KPI_FY 24-25'!L62,'KPI_FY 24-25'!AH62,'KPI_FY 24-25'!BD62,'KPI_FY 24-25'!BZ62,'KPI_FY 24-25'!CV62,'KPI_FY 24-25'!DR62,'KPI_FY 24-25'!EN62,'KPI_FY 24-25'!FJ62,'KPI_FY 24-25'!GF62,'KPI_FY 24-25'!HB62,'KPI_FY 24-25'!HX62,'KPI_FY 24-25'!IT62)</f>
        <v>0</v>
      </c>
      <c r="M57" s="69">
        <f t="shared" si="65"/>
        <v>0.47035958904109593</v>
      </c>
      <c r="N57" s="69">
        <f>((C57-L57)/$B$2)</f>
        <v>0.47035958904109593</v>
      </c>
      <c r="O57" s="6">
        <v>55</v>
      </c>
      <c r="P57" s="149">
        <f>IF((AND(D57=0,F57=0)),0,(F57+L57)/(D57+F57+L57))</f>
        <v>0.77325793584343416</v>
      </c>
      <c r="Q57" s="69">
        <f>(S57/($B$2*O57))</f>
        <v>0.1193200498132005</v>
      </c>
      <c r="R57" s="69">
        <f>(L57/$B$2)</f>
        <v>0</v>
      </c>
      <c r="S57" s="137">
        <f>SUM('KPI_FY 24-25'!T62,'KPI_FY 24-25'!AP62,'KPI_FY 24-25'!BL62,'KPI_FY 24-25'!CH62,'KPI_FY 24-25'!DD62,'KPI_FY 24-25'!DZ62,'KPI_FY 24-25'!EV62,'KPI_FY 24-25'!FR62,'KPI_FY 24-25'!GN62,'KPI_FY 24-25'!HJ62,'KPI_FY 24-25'!IF62,'KPI_FY 24-25'!JB62)</f>
        <v>57488.4</v>
      </c>
      <c r="T57" s="8">
        <v>55</v>
      </c>
      <c r="U57" s="150">
        <f>SUM(G57,I57,K57,R57,N57)</f>
        <v>1</v>
      </c>
    </row>
    <row r="58" spans="1:25" x14ac:dyDescent="0.25">
      <c r="A58" s="8"/>
      <c r="B58" s="8">
        <v>4</v>
      </c>
      <c r="C58" s="8">
        <f>SUM('KPI_FY 24-25'!C63,'KPI_FY 24-25'!Y63,'KPI_FY 24-25'!AU63,'KPI_FY 24-25'!BQ63,'KPI_FY 24-25'!CM63,'KPI_FY 24-25'!DI63,'KPI_FY 24-25'!EE63,'KPI_FY 24-25'!FA63,'KPI_FY 24-25'!FW63,'KPI_FY 24-25'!GS63,'KPI_FY 24-25'!HO63,'KPI_FY 24-25'!IK63)</f>
        <v>4432.75</v>
      </c>
      <c r="D58" s="8">
        <f>SUM('KPI_FY 24-25'!D63,'KPI_FY 24-25'!Z63,'KPI_FY 24-25'!AV63,'KPI_FY 24-25'!BR63,'KPI_FY 24-25'!CN63,'KPI_FY 24-25'!DJ63,'KPI_FY 24-25'!EF63,'KPI_FY 24-25'!FB63,'KPI_FY 24-25'!FX63,'KPI_FY 24-25'!GT63,'KPI_FY 24-25'!HP63,'KPI_FY 24-25'!IL63)</f>
        <v>1450.6000000000001</v>
      </c>
      <c r="E58" s="8">
        <f>SUM('KPI_FY 24-25'!E63,'KPI_FY 24-25'!AA63,'KPI_FY 24-25'!AW63,'KPI_FY 24-25'!BS63,'KPI_FY 24-25'!CO63,'KPI_FY 24-25'!DK63,'KPI_FY 24-25'!EG63,'KPI_FY 24-25'!FC63,'KPI_FY 24-25'!FY63,'KPI_FY 24-25'!GU63,'KPI_FY 24-25'!HQ63,'KPI_FY 24-25'!IM63)</f>
        <v>2982.15</v>
      </c>
      <c r="F58" s="6">
        <f>SUM('KPI_FY 24-25'!F63,'KPI_FY 24-25'!AB63,'KPI_FY 24-25'!AX63,'KPI_FY 24-25'!BT63,'KPI_FY 24-25'!CP63,'KPI_FY 24-25'!DL63,'KPI_FY 24-25'!EH63,'KPI_FY 24-25'!FD63,'KPI_FY 24-25'!FZ63,'KPI_FY 24-25'!GV63,'KPI_FY 24-25'!HR63,'KPI_FY 24-25'!IN63)</f>
        <v>4307.5</v>
      </c>
      <c r="G58" s="69">
        <f t="shared" si="62"/>
        <v>0.49172374429223742</v>
      </c>
      <c r="H58" s="6">
        <f>SUM('KPI_FY 24-25'!H63,'KPI_FY 24-25'!AD63,'KPI_FY 24-25'!AZ63,'KPI_FY 24-25'!BV63,'KPI_FY 24-25'!CR63,'KPI_FY 24-25'!DN63,'KPI_FY 24-25'!EJ63,'KPI_FY 24-25'!FF63,'KPI_FY 24-25'!GB63,'KPI_FY 24-25'!GX63,'KPI_FY 24-25'!HT63,'KPI_FY 24-25'!IP63)</f>
        <v>0</v>
      </c>
      <c r="I58" s="69">
        <f t="shared" si="63"/>
        <v>0</v>
      </c>
      <c r="J58" s="6">
        <f>SUM('KPI_FY 24-25'!J63,'KPI_FY 24-25'!AF63,'KPI_FY 24-25'!BB63,'KPI_FY 24-25'!BX63,'KPI_FY 24-25'!CT63,'KPI_FY 24-25'!DP63,'KPI_FY 24-25'!EL63,'KPI_FY 24-25'!FH63,'KPI_FY 24-25'!GD63,'KPI_FY 24-25'!GZ63,'KPI_FY 24-25'!HV63,'KPI_FY 24-25'!IR63)</f>
        <v>19.75</v>
      </c>
      <c r="K58" s="69">
        <f t="shared" si="64"/>
        <v>2.2545662100456622E-3</v>
      </c>
      <c r="L58" s="8">
        <f>SUM('KPI_FY 24-25'!L63,'KPI_FY 24-25'!AH63,'KPI_FY 24-25'!BD63,'KPI_FY 24-25'!BZ63,'KPI_FY 24-25'!CV63,'KPI_FY 24-25'!DR63,'KPI_FY 24-25'!EN63,'KPI_FY 24-25'!FJ63,'KPI_FY 24-25'!GF63,'KPI_FY 24-25'!HB63,'KPI_FY 24-25'!HX63,'KPI_FY 24-25'!IT63)</f>
        <v>0</v>
      </c>
      <c r="M58" s="69">
        <f t="shared" si="65"/>
        <v>0.50602168949771686</v>
      </c>
      <c r="N58" s="69">
        <f>((C58-L58)/$B$2)</f>
        <v>0.50602168949771686</v>
      </c>
      <c r="O58" s="6">
        <f>22.8+27.5</f>
        <v>50.3</v>
      </c>
      <c r="P58" s="149">
        <f>IF((AND(D58=0,F58=0)),0,(F58+L58)/(D58+F58+L58))</f>
        <v>0.74807662249700413</v>
      </c>
      <c r="Q58" s="69">
        <f>(S58/($B$2*O58))</f>
        <v>0.14850781157802048</v>
      </c>
      <c r="R58" s="69">
        <f>(L58/$B$2)</f>
        <v>0</v>
      </c>
      <c r="S58" s="137">
        <f>SUM('KPI_FY 24-25'!T63,'KPI_FY 24-25'!AP63,'KPI_FY 24-25'!BL63,'KPI_FY 24-25'!CH63,'KPI_FY 24-25'!DD63,'KPI_FY 24-25'!DZ63,'KPI_FY 24-25'!EV63,'KPI_FY 24-25'!FR63,'KPI_FY 24-25'!GN63,'KPI_FY 24-25'!HJ63,'KPI_FY 24-25'!IF63,'KPI_FY 24-25'!JB63)</f>
        <v>65436.700000000004</v>
      </c>
      <c r="T58" s="8">
        <v>55</v>
      </c>
      <c r="U58" s="150">
        <f>SUM(G58,I58,K58,R58,N58)</f>
        <v>1</v>
      </c>
    </row>
    <row r="59" spans="1:25" x14ac:dyDescent="0.25">
      <c r="A59" s="8"/>
      <c r="B59" s="29" t="s">
        <v>39</v>
      </c>
      <c r="C59" s="29">
        <f>SUM(C55:C58)</f>
        <v>22384.95</v>
      </c>
      <c r="D59" s="29">
        <f t="shared" ref="D59:L59" si="66">SUM(D55:D58)</f>
        <v>8513.4500000000007</v>
      </c>
      <c r="E59" s="29">
        <f t="shared" si="66"/>
        <v>14138.500000000002</v>
      </c>
      <c r="F59" s="30">
        <f t="shared" si="66"/>
        <v>12260.775</v>
      </c>
      <c r="G59" s="79">
        <f>(G55*$O$55+G56*$O$56+G57*$O$57+G58*$O$58)/$O$59</f>
        <v>0.35544928850761787</v>
      </c>
      <c r="H59" s="30">
        <f t="shared" si="66"/>
        <v>146.4</v>
      </c>
      <c r="I59" s="79">
        <f>(I55*$O$55+I56*$O$56+I57*$O$57+I58*$O$58)/$O$59</f>
        <v>4.4947782449477822E-3</v>
      </c>
      <c r="J59" s="30">
        <f t="shared" ref="J59" si="67">SUM(J55:J58)</f>
        <v>247.875</v>
      </c>
      <c r="K59" s="79">
        <f>(K55*$O$55+K56*$O$56+K57*$O$57+K58*$O$58)/$O$59</f>
        <v>6.8916994439169954E-3</v>
      </c>
      <c r="L59" s="29">
        <f t="shared" si="66"/>
        <v>0</v>
      </c>
      <c r="M59" s="79">
        <f>(M55*$O$55+M56*$O$56+M57*$O$57+M58*$O$58)/$O$59</f>
        <v>0.63316423380351727</v>
      </c>
      <c r="N59" s="209">
        <f>(N55*$O$55+N56*$O$56+N57*$O$57+N58*$O$58)/$O$59</f>
        <v>0.63316423380351727</v>
      </c>
      <c r="O59" s="30">
        <f>SUM(O55:O58)</f>
        <v>202</v>
      </c>
      <c r="P59" s="79">
        <f>(P55*$O$55+P56*$O$56+P57*$O$57+P58*$O$58)/$O$59</f>
        <v>0.53516540699344006</v>
      </c>
      <c r="Q59" s="79">
        <f>(Q55*$O$55+Q56*$O$56+Q57*$O$57+Q58*$O$58)/$O$59</f>
        <v>0.21106559971065603</v>
      </c>
      <c r="R59" s="79">
        <f>(R55*$O$55+R56*$O$56+R57*$O$57+R58*$O$58)/$O$59</f>
        <v>0</v>
      </c>
      <c r="S59" s="188">
        <f>SUM(S55:S58)</f>
        <v>373484.80000000005</v>
      </c>
      <c r="T59" s="29">
        <f>SUM(T55:T58)</f>
        <v>220</v>
      </c>
      <c r="U59" s="151"/>
    </row>
    <row r="60" spans="1:25" x14ac:dyDescent="0.25">
      <c r="A60" s="74" t="s">
        <v>69</v>
      </c>
      <c r="B60" s="8" t="s">
        <v>70</v>
      </c>
      <c r="C60" s="6">
        <f>SUM('KPI_FY 24-25'!C65,'KPI_FY 24-25'!Y65,'KPI_FY 24-25'!AU65,'KPI_FY 24-25'!BQ65,'KPI_FY 24-25'!CM65,'KPI_FY 24-25'!DI65,'KPI_FY 24-25'!EE65,'KPI_FY 24-25'!FA65,'KPI_FY 24-25'!FW65,'KPI_FY 24-25'!GS65,'KPI_FY 24-25'!HO65,'KPI_FY 24-25'!IK65)</f>
        <v>7525.65</v>
      </c>
      <c r="D60" s="6">
        <f>SUM('KPI_FY 24-25'!D65,'KPI_FY 24-25'!Z65,'KPI_FY 24-25'!AV65,'KPI_FY 24-25'!BR65,'KPI_FY 24-25'!CN65,'KPI_FY 24-25'!DJ65,'KPI_FY 24-25'!EF65,'KPI_FY 24-25'!FB65,'KPI_FY 24-25'!FX65,'KPI_FY 24-25'!GT65,'KPI_FY 24-25'!HP65,'KPI_FY 24-25'!IL65)</f>
        <v>5007.95</v>
      </c>
      <c r="E60" s="6">
        <f>SUM('KPI_FY 24-25'!E65,'KPI_FY 24-25'!AA65,'KPI_FY 24-25'!AW65,'KPI_FY 24-25'!BS65,'KPI_FY 24-25'!CO65,'KPI_FY 24-25'!DK65,'KPI_FY 24-25'!EG65,'KPI_FY 24-25'!FC65,'KPI_FY 24-25'!FY65,'KPI_FY 24-25'!GU65,'KPI_FY 24-25'!HQ65,'KPI_FY 24-25'!IM65)</f>
        <v>2517.6999999999998</v>
      </c>
      <c r="F60" s="6">
        <f>SUM('KPI_FY 24-25'!F65,'KPI_FY 24-25'!AB65,'KPI_FY 24-25'!AX65,'KPI_FY 24-25'!BT65,'KPI_FY 24-25'!CP65,'KPI_FY 24-25'!DL65,'KPI_FY 24-25'!EH65,'KPI_FY 24-25'!FD65,'KPI_FY 24-25'!FZ65,'KPI_FY 24-25'!GV65,'KPI_FY 24-25'!HR65,'KPI_FY 24-25'!IN65)</f>
        <v>1140.5</v>
      </c>
      <c r="G60" s="69">
        <f>(F60/$B$2)</f>
        <v>0.13019406392694063</v>
      </c>
      <c r="H60" s="8">
        <f>SUM('KPI_FY 24-25'!H65,'KPI_FY 24-25'!AD65,'KPI_FY 24-25'!AZ65,'KPI_FY 24-25'!BV65,'KPI_FY 24-25'!CR65,'KPI_FY 24-25'!DN65,'KPI_FY 24-25'!EJ65,'KPI_FY 24-25'!FF65,'KPI_FY 24-25'!GB65,'KPI_FY 24-25'!GX65,'KPI_FY 24-25'!HT65,'KPI_FY 24-25'!IP65)</f>
        <v>37.380000000000003</v>
      </c>
      <c r="I60" s="69">
        <f>(H60/$B$2)</f>
        <v>4.2671232876712335E-3</v>
      </c>
      <c r="J60" s="6">
        <f>SUM('KPI_FY 24-25'!J65,'KPI_FY 24-25'!AF65,'KPI_FY 24-25'!BB65,'KPI_FY 24-25'!BX65,'KPI_FY 24-25'!CT65,'KPI_FY 24-25'!DP65,'KPI_FY 24-25'!EL65,'KPI_FY 24-25'!FH65,'KPI_FY 24-25'!GD65,'KPI_FY 24-25'!GZ65,'KPI_FY 24-25'!HV65,'KPI_FY 24-25'!IR65)</f>
        <v>56.47</v>
      </c>
      <c r="K60" s="69">
        <f>(J60/$B$2)</f>
        <v>6.4463470319634699E-3</v>
      </c>
      <c r="L60" s="8">
        <f>SUM('KPI_FY 24-25'!L65,'KPI_FY 24-25'!AH65,'KPI_FY 24-25'!BD65,'KPI_FY 24-25'!BZ65,'KPI_FY 24-25'!CV65,'KPI_FY 24-25'!DR65,'KPI_FY 24-25'!EN65,'KPI_FY 24-25'!FJ65,'KPI_FY 24-25'!GF65,'KPI_FY 24-25'!HB65,'KPI_FY 24-25'!HX65,'KPI_FY 24-25'!IT65)</f>
        <v>0</v>
      </c>
      <c r="M60" s="69">
        <f>(C60/$B$2)</f>
        <v>0.85909246575342457</v>
      </c>
      <c r="N60" s="69">
        <f t="shared" ref="N60:N73" si="68">((C60-L60)/$B$2)</f>
        <v>0.85909246575342457</v>
      </c>
      <c r="O60" s="15">
        <v>25</v>
      </c>
      <c r="P60" s="149">
        <f t="shared" ref="P60:P73" si="69">IF((AND(D60=0,F60=0)),0,(F60+L60)/(D60+F60+L60))</f>
        <v>0.18549390496791876</v>
      </c>
      <c r="Q60" s="69">
        <f t="shared" ref="Q60:Q73" si="70">(S60/($B$2*O60))</f>
        <v>0.57848852968036524</v>
      </c>
      <c r="R60" s="69">
        <f>(L60/$B$2)</f>
        <v>0</v>
      </c>
      <c r="S60" s="137">
        <f>SUM('KPI_FY 24-25'!T65,'KPI_FY 24-25'!AP65,'KPI_FY 24-25'!BL65,'KPI_FY 24-25'!CH65,'KPI_FY 24-25'!DD65,'KPI_FY 24-25'!DZ65,'KPI_FY 24-25'!EV65,'KPI_FY 24-25'!FR65,'KPI_FY 24-25'!GN65,'KPI_FY 24-25'!HJ65,'KPI_FY 24-25'!IF65,'KPI_FY 24-25'!JB65)</f>
        <v>126688.988</v>
      </c>
      <c r="T60" s="8">
        <v>25</v>
      </c>
      <c r="U60" s="150">
        <f t="shared" ref="U60:U73" si="71">SUM(G60,I60,K60,R60,N60)</f>
        <v>0.99999999999999989</v>
      </c>
    </row>
    <row r="61" spans="1:25" x14ac:dyDescent="0.25">
      <c r="A61" s="8"/>
      <c r="B61" s="8" t="s">
        <v>71</v>
      </c>
      <c r="C61" s="6">
        <f>SUM('KPI_FY 24-25'!C66,'KPI_FY 24-25'!Y66,'KPI_FY 24-25'!AU66,'KPI_FY 24-25'!BQ66,'KPI_FY 24-25'!CM66,'KPI_FY 24-25'!DI66,'KPI_FY 24-25'!EE66,'KPI_FY 24-25'!FA66,'KPI_FY 24-25'!FW66,'KPI_FY 24-25'!GS66,'KPI_FY 24-25'!HO66,'KPI_FY 24-25'!IK66)</f>
        <v>8271.19</v>
      </c>
      <c r="D61" s="6">
        <f>SUM('KPI_FY 24-25'!D66,'KPI_FY 24-25'!Z66,'KPI_FY 24-25'!AV66,'KPI_FY 24-25'!BR66,'KPI_FY 24-25'!CN66,'KPI_FY 24-25'!DJ66,'KPI_FY 24-25'!EF66,'KPI_FY 24-25'!FB66,'KPI_FY 24-25'!FX66,'KPI_FY 24-25'!GT66,'KPI_FY 24-25'!HP66,'KPI_FY 24-25'!IL66)</f>
        <v>6207.1</v>
      </c>
      <c r="E61" s="6">
        <f>SUM('KPI_FY 24-25'!E66,'KPI_FY 24-25'!AA66,'KPI_FY 24-25'!AW66,'KPI_FY 24-25'!BS66,'KPI_FY 24-25'!CO66,'KPI_FY 24-25'!DK66,'KPI_FY 24-25'!EG66,'KPI_FY 24-25'!FC66,'KPI_FY 24-25'!FY66,'KPI_FY 24-25'!GU66,'KPI_FY 24-25'!HQ66,'KPI_FY 24-25'!IM66)</f>
        <v>2064.09</v>
      </c>
      <c r="F61" s="6">
        <f>SUM('KPI_FY 24-25'!F66,'KPI_FY 24-25'!AB66,'KPI_FY 24-25'!AX66,'KPI_FY 24-25'!BT66,'KPI_FY 24-25'!CP66,'KPI_FY 24-25'!DL66,'KPI_FY 24-25'!EH66,'KPI_FY 24-25'!FD66,'KPI_FY 24-25'!FZ66,'KPI_FY 24-25'!GV66,'KPI_FY 24-25'!HR66,'KPI_FY 24-25'!IN66)</f>
        <v>392.43</v>
      </c>
      <c r="G61" s="69">
        <f t="shared" ref="G61:G73" si="72">(F61/$B$2)</f>
        <v>4.4797945205479452E-2</v>
      </c>
      <c r="H61" s="8">
        <f>SUM('KPI_FY 24-25'!H66,'KPI_FY 24-25'!AD66,'KPI_FY 24-25'!AZ66,'KPI_FY 24-25'!BV66,'KPI_FY 24-25'!CR66,'KPI_FY 24-25'!DN66,'KPI_FY 24-25'!EJ66,'KPI_FY 24-25'!FF66,'KPI_FY 24-25'!GB66,'KPI_FY 24-25'!GX66,'KPI_FY 24-25'!HT66,'KPI_FY 24-25'!IP66)</f>
        <v>32.159999999999997</v>
      </c>
      <c r="I61" s="69">
        <f t="shared" ref="I61:I73" si="73">(H61/$B$2)</f>
        <v>3.6712328767123286E-3</v>
      </c>
      <c r="J61" s="6">
        <f>SUM('KPI_FY 24-25'!J66,'KPI_FY 24-25'!AF66,'KPI_FY 24-25'!BB66,'KPI_FY 24-25'!BX66,'KPI_FY 24-25'!CT66,'KPI_FY 24-25'!DP66,'KPI_FY 24-25'!EL66,'KPI_FY 24-25'!FH66,'KPI_FY 24-25'!GD66,'KPI_FY 24-25'!GZ66,'KPI_FY 24-25'!HV66,'KPI_FY 24-25'!IR66)</f>
        <v>64.22</v>
      </c>
      <c r="K61" s="69">
        <f t="shared" ref="K61:K73" si="74">(J61/$B$2)</f>
        <v>7.331050228310502E-3</v>
      </c>
      <c r="L61" s="8">
        <f>SUM('KPI_FY 24-25'!L66,'KPI_FY 24-25'!AH66,'KPI_FY 24-25'!BD66,'KPI_FY 24-25'!BZ66,'KPI_FY 24-25'!CV66,'KPI_FY 24-25'!DR66,'KPI_FY 24-25'!EN66,'KPI_FY 24-25'!FJ66,'KPI_FY 24-25'!GF66,'KPI_FY 24-25'!HB66,'KPI_FY 24-25'!HX66,'KPI_FY 24-25'!IT66)</f>
        <v>0</v>
      </c>
      <c r="M61" s="69">
        <f t="shared" ref="M61:M73" si="75">(C61/$B$2)</f>
        <v>0.94419977168949776</v>
      </c>
      <c r="N61" s="69">
        <f t="shared" si="68"/>
        <v>0.94419977168949776</v>
      </c>
      <c r="O61" s="15">
        <v>25</v>
      </c>
      <c r="P61" s="149">
        <f t="shared" si="69"/>
        <v>5.9463325418628289E-2</v>
      </c>
      <c r="Q61" s="69">
        <f t="shared" si="70"/>
        <v>0.72577546118721459</v>
      </c>
      <c r="R61" s="69">
        <f t="shared" ref="R61:R73" si="76">(L61/$B$2)</f>
        <v>0</v>
      </c>
      <c r="S61" s="137">
        <f>SUM('KPI_FY 24-25'!T66,'KPI_FY 24-25'!AP66,'KPI_FY 24-25'!BL66,'KPI_FY 24-25'!CH66,'KPI_FY 24-25'!DD66,'KPI_FY 24-25'!DZ66,'KPI_FY 24-25'!EV66,'KPI_FY 24-25'!FR66,'KPI_FY 24-25'!GN66,'KPI_FY 24-25'!HJ66,'KPI_FY 24-25'!IF66,'KPI_FY 24-25'!JB66)</f>
        <v>158944.826</v>
      </c>
      <c r="T61" s="8">
        <v>25</v>
      </c>
      <c r="U61" s="150">
        <f t="shared" si="71"/>
        <v>1</v>
      </c>
    </row>
    <row r="62" spans="1:25" x14ac:dyDescent="0.25">
      <c r="A62" s="8"/>
      <c r="B62" s="8" t="s">
        <v>72</v>
      </c>
      <c r="C62" s="6">
        <f>SUM('KPI_FY 24-25'!C67,'KPI_FY 24-25'!Y67,'KPI_FY 24-25'!AU67,'KPI_FY 24-25'!BQ67,'KPI_FY 24-25'!CM67,'KPI_FY 24-25'!DI67,'KPI_FY 24-25'!EE67,'KPI_FY 24-25'!FA67,'KPI_FY 24-25'!FW67,'KPI_FY 24-25'!GS67,'KPI_FY 24-25'!HO67,'KPI_FY 24-25'!IK67)</f>
        <v>7810.3099999999995</v>
      </c>
      <c r="D62" s="6">
        <f>SUM('KPI_FY 24-25'!D67,'KPI_FY 24-25'!Z67,'KPI_FY 24-25'!AV67,'KPI_FY 24-25'!BR67,'KPI_FY 24-25'!CN67,'KPI_FY 24-25'!DJ67,'KPI_FY 24-25'!EF67,'KPI_FY 24-25'!FB67,'KPI_FY 24-25'!FX67,'KPI_FY 24-25'!GT67,'KPI_FY 24-25'!HP67,'KPI_FY 24-25'!IL67)</f>
        <v>5352.62</v>
      </c>
      <c r="E62" s="6">
        <f>SUM('KPI_FY 24-25'!E67,'KPI_FY 24-25'!AA67,'KPI_FY 24-25'!AW67,'KPI_FY 24-25'!BS67,'KPI_FY 24-25'!CO67,'KPI_FY 24-25'!DK67,'KPI_FY 24-25'!EG67,'KPI_FY 24-25'!FC67,'KPI_FY 24-25'!FY67,'KPI_FY 24-25'!GU67,'KPI_FY 24-25'!HQ67,'KPI_FY 24-25'!IM67)</f>
        <v>2457.69</v>
      </c>
      <c r="F62" s="6">
        <f>SUM('KPI_FY 24-25'!F67,'KPI_FY 24-25'!AB67,'KPI_FY 24-25'!AX67,'KPI_FY 24-25'!BT67,'KPI_FY 24-25'!CP67,'KPI_FY 24-25'!DL67,'KPI_FY 24-25'!EH67,'KPI_FY 24-25'!FD67,'KPI_FY 24-25'!FZ67,'KPI_FY 24-25'!GV67,'KPI_FY 24-25'!HR67,'KPI_FY 24-25'!IN67)</f>
        <v>111.05</v>
      </c>
      <c r="G62" s="69">
        <f t="shared" si="72"/>
        <v>1.2676940639269406E-2</v>
      </c>
      <c r="H62" s="8">
        <f>SUM('KPI_FY 24-25'!H67,'KPI_FY 24-25'!AD67,'KPI_FY 24-25'!AZ67,'KPI_FY 24-25'!BV67,'KPI_FY 24-25'!CR67,'KPI_FY 24-25'!DN67,'KPI_FY 24-25'!EJ67,'KPI_FY 24-25'!FF67,'KPI_FY 24-25'!GB67,'KPI_FY 24-25'!GX67,'KPI_FY 24-25'!HT67,'KPI_FY 24-25'!IP67)</f>
        <v>775.76</v>
      </c>
      <c r="I62" s="69">
        <f t="shared" si="73"/>
        <v>8.8557077625570774E-2</v>
      </c>
      <c r="J62" s="6">
        <f>SUM('KPI_FY 24-25'!J67,'KPI_FY 24-25'!AF67,'KPI_FY 24-25'!BB67,'KPI_FY 24-25'!BX67,'KPI_FY 24-25'!CT67,'KPI_FY 24-25'!DP67,'KPI_FY 24-25'!EL67,'KPI_FY 24-25'!FH67,'KPI_FY 24-25'!GD67,'KPI_FY 24-25'!GZ67,'KPI_FY 24-25'!HV67,'KPI_FY 24-25'!IR67)</f>
        <v>62.88</v>
      </c>
      <c r="K62" s="69">
        <f t="shared" si="74"/>
        <v>7.1780821917808218E-3</v>
      </c>
      <c r="L62" s="8">
        <f>SUM('KPI_FY 24-25'!L67,'KPI_FY 24-25'!AH67,'KPI_FY 24-25'!BD67,'KPI_FY 24-25'!BZ67,'KPI_FY 24-25'!CV67,'KPI_FY 24-25'!DR67,'KPI_FY 24-25'!EN67,'KPI_FY 24-25'!FJ67,'KPI_FY 24-25'!GF67,'KPI_FY 24-25'!HB67,'KPI_FY 24-25'!HX67,'KPI_FY 24-25'!IT67)</f>
        <v>0</v>
      </c>
      <c r="M62" s="69">
        <f t="shared" si="75"/>
        <v>0.89158789954337891</v>
      </c>
      <c r="N62" s="69">
        <f t="shared" si="68"/>
        <v>0.89158789954337891</v>
      </c>
      <c r="O62" s="15">
        <v>25</v>
      </c>
      <c r="P62" s="149">
        <f t="shared" si="69"/>
        <v>2.0325166051390366E-2</v>
      </c>
      <c r="Q62" s="69">
        <f t="shared" si="70"/>
        <v>0.6297516666666666</v>
      </c>
      <c r="R62" s="69">
        <f t="shared" si="76"/>
        <v>0</v>
      </c>
      <c r="S62" s="137">
        <f>SUM('KPI_FY 24-25'!T67,'KPI_FY 24-25'!AP67,'KPI_FY 24-25'!BL67,'KPI_FY 24-25'!CH67,'KPI_FY 24-25'!DD67,'KPI_FY 24-25'!DZ67,'KPI_FY 24-25'!EV67,'KPI_FY 24-25'!FR67,'KPI_FY 24-25'!GN67,'KPI_FY 24-25'!HJ67,'KPI_FY 24-25'!IF67,'KPI_FY 24-25'!JB67)</f>
        <v>137915.61499999999</v>
      </c>
      <c r="T62" s="8">
        <v>25</v>
      </c>
      <c r="U62" s="150">
        <f t="shared" si="71"/>
        <v>0.99999999999999989</v>
      </c>
    </row>
    <row r="63" spans="1:25" x14ac:dyDescent="0.25">
      <c r="A63" s="8"/>
      <c r="B63" s="8" t="s">
        <v>73</v>
      </c>
      <c r="C63" s="6">
        <f>SUM('KPI_FY 24-25'!C68,'KPI_FY 24-25'!Y68,'KPI_FY 24-25'!AU68,'KPI_FY 24-25'!BQ68,'KPI_FY 24-25'!CM68,'KPI_FY 24-25'!DI68,'KPI_FY 24-25'!EE68,'KPI_FY 24-25'!FA68,'KPI_FY 24-25'!FW68,'KPI_FY 24-25'!GS68,'KPI_FY 24-25'!HO68,'KPI_FY 24-25'!IK68)</f>
        <v>3361.36</v>
      </c>
      <c r="D63" s="6">
        <f>SUM('KPI_FY 24-25'!D68,'KPI_FY 24-25'!Z68,'KPI_FY 24-25'!AV68,'KPI_FY 24-25'!BR68,'KPI_FY 24-25'!CN68,'KPI_FY 24-25'!DJ68,'KPI_FY 24-25'!EF68,'KPI_FY 24-25'!FB68,'KPI_FY 24-25'!FX68,'KPI_FY 24-25'!GT68,'KPI_FY 24-25'!HP68,'KPI_FY 24-25'!IL68)</f>
        <v>2769.1</v>
      </c>
      <c r="E63" s="6">
        <f>SUM('KPI_FY 24-25'!E68,'KPI_FY 24-25'!AA68,'KPI_FY 24-25'!AW68,'KPI_FY 24-25'!BS68,'KPI_FY 24-25'!CO68,'KPI_FY 24-25'!DK68,'KPI_FY 24-25'!EG68,'KPI_FY 24-25'!FC68,'KPI_FY 24-25'!FY68,'KPI_FY 24-25'!GU68,'KPI_FY 24-25'!HQ68,'KPI_FY 24-25'!IM68)</f>
        <v>592.26</v>
      </c>
      <c r="F63" s="6">
        <f>SUM('KPI_FY 24-25'!F68,'KPI_FY 24-25'!AB68,'KPI_FY 24-25'!AX68,'KPI_FY 24-25'!BT68,'KPI_FY 24-25'!CP68,'KPI_FY 24-25'!DL68,'KPI_FY 24-25'!EH68,'KPI_FY 24-25'!FD68,'KPI_FY 24-25'!FZ68,'KPI_FY 24-25'!GV68,'KPI_FY 24-25'!HR68,'KPI_FY 24-25'!IN68)</f>
        <v>5398.6399999999994</v>
      </c>
      <c r="G63" s="69">
        <f t="shared" si="72"/>
        <v>0.61628310502283101</v>
      </c>
      <c r="H63" s="8">
        <f>SUM('KPI_FY 24-25'!H68,'KPI_FY 24-25'!AD68,'KPI_FY 24-25'!AZ68,'KPI_FY 24-25'!BV68,'KPI_FY 24-25'!CR68,'KPI_FY 24-25'!DN68,'KPI_FY 24-25'!EJ68,'KPI_FY 24-25'!FF68,'KPI_FY 24-25'!GB68,'KPI_FY 24-25'!GX68,'KPI_FY 24-25'!HT68,'KPI_FY 24-25'!IP68)</f>
        <v>0</v>
      </c>
      <c r="I63" s="69">
        <f t="shared" si="73"/>
        <v>0</v>
      </c>
      <c r="J63" s="6">
        <f>SUM('KPI_FY 24-25'!J68,'KPI_FY 24-25'!AF68,'KPI_FY 24-25'!BB68,'KPI_FY 24-25'!BX68,'KPI_FY 24-25'!CT68,'KPI_FY 24-25'!DP68,'KPI_FY 24-25'!EL68,'KPI_FY 24-25'!FH68,'KPI_FY 24-25'!GD68,'KPI_FY 24-25'!GZ68,'KPI_FY 24-25'!HV68,'KPI_FY 24-25'!IR68)</f>
        <v>0</v>
      </c>
      <c r="K63" s="69">
        <f t="shared" si="74"/>
        <v>0</v>
      </c>
      <c r="L63" s="8">
        <f>SUM('KPI_FY 24-25'!L68,'KPI_FY 24-25'!AH68,'KPI_FY 24-25'!BD68,'KPI_FY 24-25'!BZ68,'KPI_FY 24-25'!CV68,'KPI_FY 24-25'!DR68,'KPI_FY 24-25'!EN68,'KPI_FY 24-25'!FJ68,'KPI_FY 24-25'!GF68,'KPI_FY 24-25'!HB68,'KPI_FY 24-25'!HX68,'KPI_FY 24-25'!IT68)</f>
        <v>0</v>
      </c>
      <c r="M63" s="69">
        <f t="shared" si="75"/>
        <v>0.38371689497716899</v>
      </c>
      <c r="N63" s="69">
        <f t="shared" si="68"/>
        <v>0.38371689497716899</v>
      </c>
      <c r="O63" s="15">
        <v>25</v>
      </c>
      <c r="P63" s="149">
        <f t="shared" si="69"/>
        <v>0.66097108869773025</v>
      </c>
      <c r="Q63" s="69">
        <f t="shared" si="70"/>
        <v>0.31769852054794517</v>
      </c>
      <c r="R63" s="69">
        <f t="shared" si="76"/>
        <v>0</v>
      </c>
      <c r="S63" s="137">
        <f>SUM('KPI_FY 24-25'!T68,'KPI_FY 24-25'!AP68,'KPI_FY 24-25'!BL68,'KPI_FY 24-25'!CH68,'KPI_FY 24-25'!DD68,'KPI_FY 24-25'!DZ68,'KPI_FY 24-25'!EV68,'KPI_FY 24-25'!FR68,'KPI_FY 24-25'!GN68,'KPI_FY 24-25'!HJ68,'KPI_FY 24-25'!IF68,'KPI_FY 24-25'!JB68)</f>
        <v>69575.975999999995</v>
      </c>
      <c r="T63" s="8">
        <v>25</v>
      </c>
      <c r="U63" s="150">
        <f t="shared" si="71"/>
        <v>1</v>
      </c>
    </row>
    <row r="64" spans="1:25" x14ac:dyDescent="0.25">
      <c r="A64" s="8"/>
      <c r="B64" s="8" t="s">
        <v>74</v>
      </c>
      <c r="C64" s="6">
        <f>SUM('KPI_FY 24-25'!C69,'KPI_FY 24-25'!Y69,'KPI_FY 24-25'!AU69,'KPI_FY 24-25'!BQ69,'KPI_FY 24-25'!CM69,'KPI_FY 24-25'!DI69,'KPI_FY 24-25'!EE69,'KPI_FY 24-25'!FA69,'KPI_FY 24-25'!FW69,'KPI_FY 24-25'!GS69,'KPI_FY 24-25'!HO69,'KPI_FY 24-25'!IK69)</f>
        <v>8379.82</v>
      </c>
      <c r="D64" s="6">
        <f>SUM('KPI_FY 24-25'!D69,'KPI_FY 24-25'!Z69,'KPI_FY 24-25'!AV69,'KPI_FY 24-25'!BR69,'KPI_FY 24-25'!CN69,'KPI_FY 24-25'!DJ69,'KPI_FY 24-25'!EF69,'KPI_FY 24-25'!FB69,'KPI_FY 24-25'!FX69,'KPI_FY 24-25'!GT69,'KPI_FY 24-25'!HP69,'KPI_FY 24-25'!IL69)</f>
        <v>6348.93</v>
      </c>
      <c r="E64" s="6">
        <f>SUM('KPI_FY 24-25'!E69,'KPI_FY 24-25'!AA69,'KPI_FY 24-25'!AW69,'KPI_FY 24-25'!BS69,'KPI_FY 24-25'!CO69,'KPI_FY 24-25'!DK69,'KPI_FY 24-25'!EG69,'KPI_FY 24-25'!FC69,'KPI_FY 24-25'!FY69,'KPI_FY 24-25'!GU69,'KPI_FY 24-25'!HQ69,'KPI_FY 24-25'!IM69)</f>
        <v>2030.890000000001</v>
      </c>
      <c r="F64" s="6">
        <f>SUM('KPI_FY 24-25'!F69,'KPI_FY 24-25'!AB69,'KPI_FY 24-25'!AX69,'KPI_FY 24-25'!BT69,'KPI_FY 24-25'!CP69,'KPI_FY 24-25'!DL69,'KPI_FY 24-25'!EH69,'KPI_FY 24-25'!FD69,'KPI_FY 24-25'!FZ69,'KPI_FY 24-25'!GV69,'KPI_FY 24-25'!HR69,'KPI_FY 24-25'!IN69)</f>
        <v>289.11</v>
      </c>
      <c r="G64" s="69">
        <f t="shared" si="72"/>
        <v>3.3003424657534246E-2</v>
      </c>
      <c r="H64" s="8">
        <f>SUM('KPI_FY 24-25'!H69,'KPI_FY 24-25'!AD69,'KPI_FY 24-25'!AZ69,'KPI_FY 24-25'!BV69,'KPI_FY 24-25'!CR69,'KPI_FY 24-25'!DN69,'KPI_FY 24-25'!EJ69,'KPI_FY 24-25'!FF69,'KPI_FY 24-25'!GB69,'KPI_FY 24-25'!GX69,'KPI_FY 24-25'!HT69,'KPI_FY 24-25'!IP69)</f>
        <v>28.29</v>
      </c>
      <c r="I64" s="69">
        <f t="shared" si="73"/>
        <v>3.2294520547945203E-3</v>
      </c>
      <c r="J64" s="6">
        <f>SUM('KPI_FY 24-25'!J69,'KPI_FY 24-25'!AF69,'KPI_FY 24-25'!BB69,'KPI_FY 24-25'!BX69,'KPI_FY 24-25'!CT69,'KPI_FY 24-25'!DP69,'KPI_FY 24-25'!EL69,'KPI_FY 24-25'!FH69,'KPI_FY 24-25'!GD69,'KPI_FY 24-25'!GZ69,'KPI_FY 24-25'!HV69,'KPI_FY 24-25'!IR69)</f>
        <v>62.78</v>
      </c>
      <c r="K64" s="69">
        <f t="shared" si="74"/>
        <v>7.1666666666666667E-3</v>
      </c>
      <c r="L64" s="8">
        <f>SUM('KPI_FY 24-25'!L69,'KPI_FY 24-25'!AH69,'KPI_FY 24-25'!BD69,'KPI_FY 24-25'!BZ69,'KPI_FY 24-25'!CV69,'KPI_FY 24-25'!DR69,'KPI_FY 24-25'!EN69,'KPI_FY 24-25'!FJ69,'KPI_FY 24-25'!GF69,'KPI_FY 24-25'!HB69,'KPI_FY 24-25'!HX69,'KPI_FY 24-25'!IT69)</f>
        <v>0</v>
      </c>
      <c r="M64" s="69">
        <f t="shared" si="75"/>
        <v>0.95660045662100457</v>
      </c>
      <c r="N64" s="69">
        <f t="shared" si="68"/>
        <v>0.95660045662100457</v>
      </c>
      <c r="O64" s="15">
        <v>25</v>
      </c>
      <c r="P64" s="149">
        <f t="shared" si="69"/>
        <v>4.3553518809769154E-2</v>
      </c>
      <c r="Q64" s="69">
        <f t="shared" si="70"/>
        <v>0.73278672146118728</v>
      </c>
      <c r="R64" s="69">
        <f t="shared" si="76"/>
        <v>0</v>
      </c>
      <c r="S64" s="137">
        <f>SUM('KPI_FY 24-25'!T69,'KPI_FY 24-25'!AP69,'KPI_FY 24-25'!BL69,'KPI_FY 24-25'!CH69,'KPI_FY 24-25'!DD69,'KPI_FY 24-25'!DZ69,'KPI_FY 24-25'!EV69,'KPI_FY 24-25'!FR69,'KPI_FY 24-25'!GN69,'KPI_FY 24-25'!HJ69,'KPI_FY 24-25'!IF69,'KPI_FY 24-25'!JB69)</f>
        <v>160480.29200000002</v>
      </c>
      <c r="T64" s="8">
        <v>25</v>
      </c>
      <c r="U64" s="150">
        <f t="shared" si="71"/>
        <v>1</v>
      </c>
    </row>
    <row r="65" spans="1:25" x14ac:dyDescent="0.25">
      <c r="A65" s="8"/>
      <c r="B65" s="8" t="s">
        <v>75</v>
      </c>
      <c r="C65" s="6">
        <f>SUM('KPI_FY 24-25'!C70,'KPI_FY 24-25'!Y70,'KPI_FY 24-25'!AU70,'KPI_FY 24-25'!BQ70,'KPI_FY 24-25'!CM70,'KPI_FY 24-25'!DI70,'KPI_FY 24-25'!EE70,'KPI_FY 24-25'!FA70,'KPI_FY 24-25'!FW70,'KPI_FY 24-25'!GS70,'KPI_FY 24-25'!HO70,'KPI_FY 24-25'!IK70)</f>
        <v>8420.56</v>
      </c>
      <c r="D65" s="6">
        <f>SUM('KPI_FY 24-25'!D70,'KPI_FY 24-25'!Z70,'KPI_FY 24-25'!AV70,'KPI_FY 24-25'!BR70,'KPI_FY 24-25'!CN70,'KPI_FY 24-25'!DJ70,'KPI_FY 24-25'!EF70,'KPI_FY 24-25'!FB70,'KPI_FY 24-25'!FX70,'KPI_FY 24-25'!GT70,'KPI_FY 24-25'!HP70,'KPI_FY 24-25'!IL70)</f>
        <v>6250.5499999999993</v>
      </c>
      <c r="E65" s="6">
        <f>SUM('KPI_FY 24-25'!E70,'KPI_FY 24-25'!AA70,'KPI_FY 24-25'!AW70,'KPI_FY 24-25'!BS70,'KPI_FY 24-25'!CO70,'KPI_FY 24-25'!DK70,'KPI_FY 24-25'!EG70,'KPI_FY 24-25'!FC70,'KPI_FY 24-25'!FY70,'KPI_FY 24-25'!GU70,'KPI_FY 24-25'!HQ70,'KPI_FY 24-25'!IM70)</f>
        <v>2170.0100000000011</v>
      </c>
      <c r="F65" s="6">
        <f>SUM('KPI_FY 24-25'!F70,'KPI_FY 24-25'!AB70,'KPI_FY 24-25'!AX70,'KPI_FY 24-25'!BT70,'KPI_FY 24-25'!CP70,'KPI_FY 24-25'!DL70,'KPI_FY 24-25'!EH70,'KPI_FY 24-25'!FD70,'KPI_FY 24-25'!FZ70,'KPI_FY 24-25'!GV70,'KPI_FY 24-25'!HR70,'KPI_FY 24-25'!IN70)</f>
        <v>245.61</v>
      </c>
      <c r="G65" s="69">
        <f t="shared" si="72"/>
        <v>2.8037671232876715E-2</v>
      </c>
      <c r="H65" s="8">
        <f>SUM('KPI_FY 24-25'!H70,'KPI_FY 24-25'!AD70,'KPI_FY 24-25'!AZ70,'KPI_FY 24-25'!BV70,'KPI_FY 24-25'!CR70,'KPI_FY 24-25'!DN70,'KPI_FY 24-25'!EJ70,'KPI_FY 24-25'!FF70,'KPI_FY 24-25'!GB70,'KPI_FY 24-25'!GX70,'KPI_FY 24-25'!HT70,'KPI_FY 24-25'!IP70)</f>
        <v>27</v>
      </c>
      <c r="I65" s="69">
        <f t="shared" si="73"/>
        <v>3.0821917808219177E-3</v>
      </c>
      <c r="J65" s="6">
        <f>SUM('KPI_FY 24-25'!J70,'KPI_FY 24-25'!AF70,'KPI_FY 24-25'!BB70,'KPI_FY 24-25'!BX70,'KPI_FY 24-25'!CT70,'KPI_FY 24-25'!DP70,'KPI_FY 24-25'!EL70,'KPI_FY 24-25'!FH70,'KPI_FY 24-25'!GD70,'KPI_FY 24-25'!GZ70,'KPI_FY 24-25'!HV70,'KPI_FY 24-25'!IR70)</f>
        <v>66.83</v>
      </c>
      <c r="K65" s="69">
        <f t="shared" si="74"/>
        <v>7.628995433789954E-3</v>
      </c>
      <c r="L65" s="8">
        <f>SUM('KPI_FY 24-25'!L70,'KPI_FY 24-25'!AH70,'KPI_FY 24-25'!BD70,'KPI_FY 24-25'!BZ70,'KPI_FY 24-25'!CV70,'KPI_FY 24-25'!DR70,'KPI_FY 24-25'!EN70,'KPI_FY 24-25'!FJ70,'KPI_FY 24-25'!GF70,'KPI_FY 24-25'!HB70,'KPI_FY 24-25'!HX70,'KPI_FY 24-25'!IT70)</f>
        <v>0</v>
      </c>
      <c r="M65" s="69">
        <f t="shared" si="75"/>
        <v>0.96125114155251135</v>
      </c>
      <c r="N65" s="69">
        <f t="shared" si="68"/>
        <v>0.96125114155251135</v>
      </c>
      <c r="O65" s="15">
        <v>25</v>
      </c>
      <c r="P65" s="149">
        <f t="shared" si="69"/>
        <v>3.7808489938671468E-2</v>
      </c>
      <c r="Q65" s="69">
        <f t="shared" si="70"/>
        <v>0.73257118264840171</v>
      </c>
      <c r="R65" s="69">
        <f t="shared" si="76"/>
        <v>0</v>
      </c>
      <c r="S65" s="137">
        <f>SUM('KPI_FY 24-25'!T70,'KPI_FY 24-25'!AP70,'KPI_FY 24-25'!BL70,'KPI_FY 24-25'!CH70,'KPI_FY 24-25'!DD70,'KPI_FY 24-25'!DZ70,'KPI_FY 24-25'!EV70,'KPI_FY 24-25'!FR70,'KPI_FY 24-25'!GN70,'KPI_FY 24-25'!HJ70,'KPI_FY 24-25'!IF70,'KPI_FY 24-25'!JB70)</f>
        <v>160433.08899999998</v>
      </c>
      <c r="T65" s="8">
        <v>25</v>
      </c>
      <c r="U65" s="150">
        <f t="shared" si="71"/>
        <v>0.99999999999999989</v>
      </c>
    </row>
    <row r="66" spans="1:25" x14ac:dyDescent="0.25">
      <c r="A66" s="8"/>
      <c r="B66" s="8" t="s">
        <v>76</v>
      </c>
      <c r="C66" s="6">
        <f>SUM('KPI_FY 24-25'!C71,'KPI_FY 24-25'!Y71,'KPI_FY 24-25'!AU71,'KPI_FY 24-25'!BQ71,'KPI_FY 24-25'!CM71,'KPI_FY 24-25'!DI71,'KPI_FY 24-25'!EE71,'KPI_FY 24-25'!FA71,'KPI_FY 24-25'!FW71,'KPI_FY 24-25'!GS71,'KPI_FY 24-25'!HO71,'KPI_FY 24-25'!IK71)</f>
        <v>8628.07</v>
      </c>
      <c r="D66" s="6">
        <f>SUM('KPI_FY 24-25'!D71,'KPI_FY 24-25'!Z71,'KPI_FY 24-25'!AV71,'KPI_FY 24-25'!BR71,'KPI_FY 24-25'!CN71,'KPI_FY 24-25'!DJ71,'KPI_FY 24-25'!EF71,'KPI_FY 24-25'!FB71,'KPI_FY 24-25'!FX71,'KPI_FY 24-25'!GT71,'KPI_FY 24-25'!HP71,'KPI_FY 24-25'!IL71)</f>
        <v>6650.87</v>
      </c>
      <c r="E66" s="6">
        <f>SUM('KPI_FY 24-25'!E71,'KPI_FY 24-25'!AA71,'KPI_FY 24-25'!AW71,'KPI_FY 24-25'!BS71,'KPI_FY 24-25'!CO71,'KPI_FY 24-25'!DK71,'KPI_FY 24-25'!EG71,'KPI_FY 24-25'!FC71,'KPI_FY 24-25'!FY71,'KPI_FY 24-25'!GU71,'KPI_FY 24-25'!HQ71,'KPI_FY 24-25'!IM71)</f>
        <v>1977.2000000000035</v>
      </c>
      <c r="F66" s="6">
        <f>SUM('KPI_FY 24-25'!F71,'KPI_FY 24-25'!AB71,'KPI_FY 24-25'!AX71,'KPI_FY 24-25'!BT71,'KPI_FY 24-25'!CP71,'KPI_FY 24-25'!DL71,'KPI_FY 24-25'!EH71,'KPI_FY 24-25'!FD71,'KPI_FY 24-25'!FZ71,'KPI_FY 24-25'!GV71,'KPI_FY 24-25'!HR71,'KPI_FY 24-25'!IN71)</f>
        <v>57.61</v>
      </c>
      <c r="G66" s="69">
        <f t="shared" si="72"/>
        <v>6.5764840182648398E-3</v>
      </c>
      <c r="H66" s="8">
        <f>SUM('KPI_FY 24-25'!H71,'KPI_FY 24-25'!AD71,'KPI_FY 24-25'!AZ71,'KPI_FY 24-25'!BV71,'KPI_FY 24-25'!CR71,'KPI_FY 24-25'!DN71,'KPI_FY 24-25'!EJ71,'KPI_FY 24-25'!FF71,'KPI_FY 24-25'!GB71,'KPI_FY 24-25'!GX71,'KPI_FY 24-25'!HT71,'KPI_FY 24-25'!IP71)</f>
        <v>26.54</v>
      </c>
      <c r="I66" s="69">
        <f t="shared" si="73"/>
        <v>3.0296803652968035E-3</v>
      </c>
      <c r="J66" s="6">
        <f>SUM('KPI_FY 24-25'!J71,'KPI_FY 24-25'!AF71,'KPI_FY 24-25'!BB71,'KPI_FY 24-25'!BX71,'KPI_FY 24-25'!CT71,'KPI_FY 24-25'!DP71,'KPI_FY 24-25'!EL71,'KPI_FY 24-25'!FH71,'KPI_FY 24-25'!GD71,'KPI_FY 24-25'!GZ71,'KPI_FY 24-25'!HV71,'KPI_FY 24-25'!IR71)</f>
        <v>47.78</v>
      </c>
      <c r="K66" s="69">
        <f t="shared" si="74"/>
        <v>5.4543378995433791E-3</v>
      </c>
      <c r="L66" s="8">
        <f>SUM('KPI_FY 24-25'!L71,'KPI_FY 24-25'!AH71,'KPI_FY 24-25'!BD71,'KPI_FY 24-25'!BZ71,'KPI_FY 24-25'!CV71,'KPI_FY 24-25'!DR71,'KPI_FY 24-25'!EN71,'KPI_FY 24-25'!FJ71,'KPI_FY 24-25'!GF71,'KPI_FY 24-25'!HB71,'KPI_FY 24-25'!HX71,'KPI_FY 24-25'!IT71)</f>
        <v>0</v>
      </c>
      <c r="M66" s="69">
        <f t="shared" si="75"/>
        <v>0.98493949771689493</v>
      </c>
      <c r="N66" s="69">
        <f t="shared" si="68"/>
        <v>0.98493949771689493</v>
      </c>
      <c r="O66" s="15">
        <v>25</v>
      </c>
      <c r="P66" s="149">
        <f t="shared" si="69"/>
        <v>8.5876383323793166E-3</v>
      </c>
      <c r="Q66" s="69">
        <f t="shared" si="70"/>
        <v>0.75795611872146129</v>
      </c>
      <c r="R66" s="69">
        <f t="shared" si="76"/>
        <v>0</v>
      </c>
      <c r="S66" s="137">
        <f>SUM('KPI_FY 24-25'!T71,'KPI_FY 24-25'!AP71,'KPI_FY 24-25'!BL71,'KPI_FY 24-25'!CH71,'KPI_FY 24-25'!DD71,'KPI_FY 24-25'!DZ71,'KPI_FY 24-25'!EV71,'KPI_FY 24-25'!FR71,'KPI_FY 24-25'!GN71,'KPI_FY 24-25'!HJ71,'KPI_FY 24-25'!IF71,'KPI_FY 24-25'!JB71)</f>
        <v>165992.39000000001</v>
      </c>
      <c r="T66" s="8">
        <v>25</v>
      </c>
      <c r="U66" s="150">
        <f t="shared" si="71"/>
        <v>1</v>
      </c>
    </row>
    <row r="67" spans="1:25" x14ac:dyDescent="0.25">
      <c r="A67" s="8"/>
      <c r="B67" s="8" t="s">
        <v>77</v>
      </c>
      <c r="C67" s="6">
        <f>SUM('KPI_FY 24-25'!C72,'KPI_FY 24-25'!Y72,'KPI_FY 24-25'!AU72,'KPI_FY 24-25'!BQ72,'KPI_FY 24-25'!CM72,'KPI_FY 24-25'!DI72,'KPI_FY 24-25'!EE72,'KPI_FY 24-25'!FA72,'KPI_FY 24-25'!FW72,'KPI_FY 24-25'!GS72,'KPI_FY 24-25'!HO72,'KPI_FY 24-25'!IK72)</f>
        <v>8474.77</v>
      </c>
      <c r="D67" s="6">
        <f>SUM('KPI_FY 24-25'!D72,'KPI_FY 24-25'!Z72,'KPI_FY 24-25'!AV72,'KPI_FY 24-25'!BR72,'KPI_FY 24-25'!CN72,'KPI_FY 24-25'!DJ72,'KPI_FY 24-25'!EF72,'KPI_FY 24-25'!FB72,'KPI_FY 24-25'!FX72,'KPI_FY 24-25'!GT72,'KPI_FY 24-25'!HP72,'KPI_FY 24-25'!IL72)</f>
        <v>5861.92</v>
      </c>
      <c r="E67" s="6">
        <f>SUM('KPI_FY 24-25'!E72,'KPI_FY 24-25'!AA72,'KPI_FY 24-25'!AW72,'KPI_FY 24-25'!BS72,'KPI_FY 24-25'!CO72,'KPI_FY 24-25'!DK72,'KPI_FY 24-25'!EG72,'KPI_FY 24-25'!FC72,'KPI_FY 24-25'!FY72,'KPI_FY 24-25'!GU72,'KPI_FY 24-25'!HQ72,'KPI_FY 24-25'!IM72)</f>
        <v>2612.8500000000004</v>
      </c>
      <c r="F67" s="6">
        <f>SUM('KPI_FY 24-25'!F72,'KPI_FY 24-25'!AB72,'KPI_FY 24-25'!AX72,'KPI_FY 24-25'!BT72,'KPI_FY 24-25'!CP72,'KPI_FY 24-25'!DL72,'KPI_FY 24-25'!EH72,'KPI_FY 24-25'!FD72,'KPI_FY 24-25'!FZ72,'KPI_FY 24-25'!GV72,'KPI_FY 24-25'!HR72,'KPI_FY 24-25'!IN72)</f>
        <v>195.22</v>
      </c>
      <c r="G67" s="69">
        <f t="shared" si="72"/>
        <v>2.228538812785388E-2</v>
      </c>
      <c r="H67" s="8">
        <f>SUM('KPI_FY 24-25'!H72,'KPI_FY 24-25'!AD72,'KPI_FY 24-25'!AZ72,'KPI_FY 24-25'!BV72,'KPI_FY 24-25'!CR72,'KPI_FY 24-25'!DN72,'KPI_FY 24-25'!EJ72,'KPI_FY 24-25'!FF72,'KPI_FY 24-25'!GB72,'KPI_FY 24-25'!GX72,'KPI_FY 24-25'!HT72,'KPI_FY 24-25'!IP72)</f>
        <v>27.31</v>
      </c>
      <c r="I67" s="69">
        <f t="shared" si="73"/>
        <v>3.1175799086757988E-3</v>
      </c>
      <c r="J67" s="6">
        <f>SUM('KPI_FY 24-25'!J72,'KPI_FY 24-25'!AF72,'KPI_FY 24-25'!BB72,'KPI_FY 24-25'!BX72,'KPI_FY 24-25'!CT72,'KPI_FY 24-25'!DP72,'KPI_FY 24-25'!EL72,'KPI_FY 24-25'!FH72,'KPI_FY 24-25'!GD72,'KPI_FY 24-25'!GZ72,'KPI_FY 24-25'!HV72,'KPI_FY 24-25'!IR72)</f>
        <v>62.7</v>
      </c>
      <c r="K67" s="69">
        <f t="shared" si="74"/>
        <v>7.1575342465753427E-3</v>
      </c>
      <c r="L67" s="8">
        <f>SUM('KPI_FY 24-25'!L72,'KPI_FY 24-25'!AH72,'KPI_FY 24-25'!BD72,'KPI_FY 24-25'!BZ72,'KPI_FY 24-25'!CV72,'KPI_FY 24-25'!DR72,'KPI_FY 24-25'!EN72,'KPI_FY 24-25'!FJ72,'KPI_FY 24-25'!GF72,'KPI_FY 24-25'!HB72,'KPI_FY 24-25'!HX72,'KPI_FY 24-25'!IT72)</f>
        <v>0</v>
      </c>
      <c r="M67" s="69">
        <f t="shared" si="75"/>
        <v>0.96743949771689508</v>
      </c>
      <c r="N67" s="69">
        <f t="shared" si="68"/>
        <v>0.96743949771689508</v>
      </c>
      <c r="O67" s="15">
        <v>25</v>
      </c>
      <c r="P67" s="149">
        <f t="shared" si="69"/>
        <v>3.2229732183835937E-2</v>
      </c>
      <c r="Q67" s="69">
        <f t="shared" si="70"/>
        <v>0.66909100456621007</v>
      </c>
      <c r="R67" s="69">
        <f t="shared" si="76"/>
        <v>0</v>
      </c>
      <c r="S67" s="137">
        <f>SUM('KPI_FY 24-25'!T72,'KPI_FY 24-25'!AP72,'KPI_FY 24-25'!BL72,'KPI_FY 24-25'!CH72,'KPI_FY 24-25'!DD72,'KPI_FY 24-25'!DZ72,'KPI_FY 24-25'!EV72,'KPI_FY 24-25'!FR72,'KPI_FY 24-25'!GN72,'KPI_FY 24-25'!HJ72,'KPI_FY 24-25'!IF72,'KPI_FY 24-25'!JB72)</f>
        <v>146530.93</v>
      </c>
      <c r="T67" s="8">
        <v>25</v>
      </c>
      <c r="U67" s="150">
        <f t="shared" si="71"/>
        <v>1</v>
      </c>
    </row>
    <row r="68" spans="1:25" x14ac:dyDescent="0.25">
      <c r="A68" s="8"/>
      <c r="B68" s="8" t="s">
        <v>78</v>
      </c>
      <c r="C68" s="6">
        <f>SUM('KPI_FY 24-25'!C73,'KPI_FY 24-25'!Y73,'KPI_FY 24-25'!AU73,'KPI_FY 24-25'!BQ73,'KPI_FY 24-25'!CM73,'KPI_FY 24-25'!DI73,'KPI_FY 24-25'!EE73,'KPI_FY 24-25'!FA73,'KPI_FY 24-25'!FW73,'KPI_FY 24-25'!GS73,'KPI_FY 24-25'!HO73,'KPI_FY 24-25'!IK73)</f>
        <v>4478.26</v>
      </c>
      <c r="D68" s="6">
        <f>SUM('KPI_FY 24-25'!D73,'KPI_FY 24-25'!Z73,'KPI_FY 24-25'!AV73,'KPI_FY 24-25'!BR73,'KPI_FY 24-25'!CN73,'KPI_FY 24-25'!DJ73,'KPI_FY 24-25'!EF73,'KPI_FY 24-25'!FB73,'KPI_FY 24-25'!FX73,'KPI_FY 24-25'!GT73,'KPI_FY 24-25'!HP73,'KPI_FY 24-25'!IL73)</f>
        <v>3523.7</v>
      </c>
      <c r="E68" s="6">
        <f>SUM('KPI_FY 24-25'!E73,'KPI_FY 24-25'!AA73,'KPI_FY 24-25'!AW73,'KPI_FY 24-25'!BS73,'KPI_FY 24-25'!CO73,'KPI_FY 24-25'!DK73,'KPI_FY 24-25'!EG73,'KPI_FY 24-25'!FC73,'KPI_FY 24-25'!FY73,'KPI_FY 24-25'!GU73,'KPI_FY 24-25'!HQ73,'KPI_FY 24-25'!IM73)</f>
        <v>954.56</v>
      </c>
      <c r="F68" s="6">
        <f>SUM('KPI_FY 24-25'!F73,'KPI_FY 24-25'!AB73,'KPI_FY 24-25'!AX73,'KPI_FY 24-25'!BT73,'KPI_FY 24-25'!CP73,'KPI_FY 24-25'!DL73,'KPI_FY 24-25'!EH73,'KPI_FY 24-25'!FD73,'KPI_FY 24-25'!FZ73,'KPI_FY 24-25'!GV73,'KPI_FY 24-25'!HR73,'KPI_FY 24-25'!IN73)</f>
        <v>4234.09</v>
      </c>
      <c r="G68" s="69">
        <f t="shared" si="72"/>
        <v>0.48334360730593606</v>
      </c>
      <c r="H68" s="8">
        <f>SUM('KPI_FY 24-25'!H73,'KPI_FY 24-25'!AD73,'KPI_FY 24-25'!AZ73,'KPI_FY 24-25'!BV73,'KPI_FY 24-25'!CR73,'KPI_FY 24-25'!DN73,'KPI_FY 24-25'!EJ73,'KPI_FY 24-25'!FF73,'KPI_FY 24-25'!GB73,'KPI_FY 24-25'!GX73,'KPI_FY 24-25'!HT73,'KPI_FY 24-25'!IP73)</f>
        <v>24</v>
      </c>
      <c r="I68" s="69">
        <f t="shared" si="73"/>
        <v>2.7397260273972603E-3</v>
      </c>
      <c r="J68" s="6">
        <f>SUM('KPI_FY 24-25'!J73,'KPI_FY 24-25'!AF73,'KPI_FY 24-25'!BB73,'KPI_FY 24-25'!BX73,'KPI_FY 24-25'!CT73,'KPI_FY 24-25'!DP73,'KPI_FY 24-25'!EL73,'KPI_FY 24-25'!FH73,'KPI_FY 24-25'!GD73,'KPI_FY 24-25'!GZ73,'KPI_FY 24-25'!HV73,'KPI_FY 24-25'!IR73)</f>
        <v>23.65</v>
      </c>
      <c r="K68" s="69">
        <f t="shared" si="74"/>
        <v>2.6997716894977168E-3</v>
      </c>
      <c r="L68" s="8">
        <f>SUM('KPI_FY 24-25'!L73,'KPI_FY 24-25'!AH73,'KPI_FY 24-25'!BD73,'KPI_FY 24-25'!BZ73,'KPI_FY 24-25'!CV73,'KPI_FY 24-25'!DR73,'KPI_FY 24-25'!EN73,'KPI_FY 24-25'!FJ73,'KPI_FY 24-25'!GF73,'KPI_FY 24-25'!HB73,'KPI_FY 24-25'!HX73,'KPI_FY 24-25'!IT73)</f>
        <v>0</v>
      </c>
      <c r="M68" s="69">
        <f t="shared" si="75"/>
        <v>0.51121689497716893</v>
      </c>
      <c r="N68" s="69">
        <f t="shared" si="68"/>
        <v>0.51121689497716893</v>
      </c>
      <c r="O68" s="15">
        <v>25</v>
      </c>
      <c r="P68" s="149">
        <f t="shared" si="69"/>
        <v>0.54578559099949864</v>
      </c>
      <c r="Q68" s="69">
        <f t="shared" si="70"/>
        <v>0.39510463926940637</v>
      </c>
      <c r="R68" s="69">
        <f t="shared" si="76"/>
        <v>0</v>
      </c>
      <c r="S68" s="137">
        <f>SUM('KPI_FY 24-25'!T73,'KPI_FY 24-25'!AP73,'KPI_FY 24-25'!BL73,'KPI_FY 24-25'!CH73,'KPI_FY 24-25'!DD73,'KPI_FY 24-25'!DZ73,'KPI_FY 24-25'!EV73,'KPI_FY 24-25'!FR73,'KPI_FY 24-25'!GN73,'KPI_FY 24-25'!HJ73,'KPI_FY 24-25'!IF73,'KPI_FY 24-25'!JB73)</f>
        <v>86527.915999999997</v>
      </c>
      <c r="T68" s="8">
        <v>25</v>
      </c>
      <c r="U68" s="150">
        <f t="shared" si="71"/>
        <v>1</v>
      </c>
    </row>
    <row r="69" spans="1:25" x14ac:dyDescent="0.25">
      <c r="A69" s="8"/>
      <c r="B69" s="8" t="s">
        <v>79</v>
      </c>
      <c r="C69" s="6">
        <f>SUM('KPI_FY 24-25'!C74,'KPI_FY 24-25'!Y74,'KPI_FY 24-25'!AU74,'KPI_FY 24-25'!BQ74,'KPI_FY 24-25'!CM74,'KPI_FY 24-25'!DI74,'KPI_FY 24-25'!EE74,'KPI_FY 24-25'!FA74,'KPI_FY 24-25'!FW74,'KPI_FY 24-25'!GS74,'KPI_FY 24-25'!HO74,'KPI_FY 24-25'!IK74)</f>
        <v>8502.6899999999987</v>
      </c>
      <c r="D69" s="6">
        <f>SUM('KPI_FY 24-25'!D74,'KPI_FY 24-25'!Z74,'KPI_FY 24-25'!AV74,'KPI_FY 24-25'!BR74,'KPI_FY 24-25'!CN74,'KPI_FY 24-25'!DJ74,'KPI_FY 24-25'!EF74,'KPI_FY 24-25'!FB74,'KPI_FY 24-25'!FX74,'KPI_FY 24-25'!GT74,'KPI_FY 24-25'!HP74,'KPI_FY 24-25'!IL74)</f>
        <v>6807.01</v>
      </c>
      <c r="E69" s="6">
        <f>SUM('KPI_FY 24-25'!E74,'KPI_FY 24-25'!AA74,'KPI_FY 24-25'!AW74,'KPI_FY 24-25'!BS74,'KPI_FY 24-25'!CO74,'KPI_FY 24-25'!DK74,'KPI_FY 24-25'!EG74,'KPI_FY 24-25'!FC74,'KPI_FY 24-25'!FY74,'KPI_FY 24-25'!GU74,'KPI_FY 24-25'!HQ74,'KPI_FY 24-25'!IM74)</f>
        <v>1695.68</v>
      </c>
      <c r="F69" s="6">
        <f>SUM('KPI_FY 24-25'!F74,'KPI_FY 24-25'!AB74,'KPI_FY 24-25'!AX74,'KPI_FY 24-25'!BT74,'KPI_FY 24-25'!CP74,'KPI_FY 24-25'!DL74,'KPI_FY 24-25'!EH74,'KPI_FY 24-25'!FD74,'KPI_FY 24-25'!FZ74,'KPI_FY 24-25'!GV74,'KPI_FY 24-25'!HR74,'KPI_FY 24-25'!IN74)</f>
        <v>160.38</v>
      </c>
      <c r="G69" s="69">
        <f t="shared" si="72"/>
        <v>1.8308219178082192E-2</v>
      </c>
      <c r="H69" s="8">
        <f>SUM('KPI_FY 24-25'!H74,'KPI_FY 24-25'!AD74,'KPI_FY 24-25'!AZ74,'KPI_FY 24-25'!BV74,'KPI_FY 24-25'!CR74,'KPI_FY 24-25'!DN74,'KPI_FY 24-25'!EJ74,'KPI_FY 24-25'!FF74,'KPI_FY 24-25'!GB74,'KPI_FY 24-25'!GX74,'KPI_FY 24-25'!HT74,'KPI_FY 24-25'!IP74)</f>
        <v>96.93</v>
      </c>
      <c r="I69" s="69">
        <f t="shared" si="73"/>
        <v>1.1065068493150686E-2</v>
      </c>
      <c r="J69" s="6">
        <f>SUM('KPI_FY 24-25'!J74,'KPI_FY 24-25'!AF74,'KPI_FY 24-25'!BB74,'KPI_FY 24-25'!BX74,'KPI_FY 24-25'!CT74,'KPI_FY 24-25'!DP74,'KPI_FY 24-25'!EL74,'KPI_FY 24-25'!FH74,'KPI_FY 24-25'!GD74,'KPI_FY 24-25'!GZ74,'KPI_FY 24-25'!HV74,'KPI_FY 24-25'!IR74)</f>
        <v>0</v>
      </c>
      <c r="K69" s="69">
        <f t="shared" si="74"/>
        <v>0</v>
      </c>
      <c r="L69" s="8">
        <f>SUM('KPI_FY 24-25'!L74,'KPI_FY 24-25'!AH74,'KPI_FY 24-25'!BD74,'KPI_FY 24-25'!BZ74,'KPI_FY 24-25'!CV74,'KPI_FY 24-25'!DR74,'KPI_FY 24-25'!EN74,'KPI_FY 24-25'!FJ74,'KPI_FY 24-25'!GF74,'KPI_FY 24-25'!HB74,'KPI_FY 24-25'!HX74,'KPI_FY 24-25'!IT74)</f>
        <v>0</v>
      </c>
      <c r="M69" s="69">
        <f t="shared" si="75"/>
        <v>0.97062671232876696</v>
      </c>
      <c r="N69" s="69">
        <f t="shared" si="68"/>
        <v>0.97062671232876696</v>
      </c>
      <c r="O69" s="15">
        <v>25</v>
      </c>
      <c r="P69" s="149">
        <f t="shared" si="69"/>
        <v>2.3018662655599872E-2</v>
      </c>
      <c r="Q69" s="69">
        <f t="shared" si="70"/>
        <v>0.76329702283105016</v>
      </c>
      <c r="R69" s="69">
        <f t="shared" si="76"/>
        <v>0</v>
      </c>
      <c r="S69" s="137">
        <f>SUM('KPI_FY 24-25'!T74,'KPI_FY 24-25'!AP74,'KPI_FY 24-25'!BL74,'KPI_FY 24-25'!CH74,'KPI_FY 24-25'!DD74,'KPI_FY 24-25'!DZ74,'KPI_FY 24-25'!EV74,'KPI_FY 24-25'!FR74,'KPI_FY 24-25'!GN74,'KPI_FY 24-25'!HJ74,'KPI_FY 24-25'!IF74,'KPI_FY 24-25'!JB74)</f>
        <v>167162.04799999998</v>
      </c>
      <c r="T69" s="8">
        <v>25</v>
      </c>
      <c r="U69" s="150">
        <f t="shared" si="71"/>
        <v>0.99999999999999989</v>
      </c>
    </row>
    <row r="70" spans="1:25" x14ac:dyDescent="0.25">
      <c r="A70" s="74" t="s">
        <v>80</v>
      </c>
      <c r="B70" s="37" t="s">
        <v>70</v>
      </c>
      <c r="C70" s="6">
        <f>SUM('KPI_FY 24-25'!C75,'KPI_FY 24-25'!Y75,'KPI_FY 24-25'!AU75,'KPI_FY 24-25'!BQ75,'KPI_FY 24-25'!CM75,'KPI_FY 24-25'!DI75,'KPI_FY 24-25'!EE75,'KPI_FY 24-25'!FA75,'KPI_FY 24-25'!FW75,'KPI_FY 24-25'!GS75,'KPI_FY 24-25'!HO75,'KPI_FY 24-25'!IK75)</f>
        <v>8682</v>
      </c>
      <c r="D70" s="6">
        <f>SUM('KPI_FY 24-25'!D75,'KPI_FY 24-25'!Z75,'KPI_FY 24-25'!AV75,'KPI_FY 24-25'!BR75,'KPI_FY 24-25'!CN75,'KPI_FY 24-25'!DJ75,'KPI_FY 24-25'!EF75,'KPI_FY 24-25'!FB75,'KPI_FY 24-25'!FX75,'KPI_FY 24-25'!GT75,'KPI_FY 24-25'!HP75,'KPI_FY 24-25'!IL75)</f>
        <v>7142.23</v>
      </c>
      <c r="E70" s="6">
        <f>SUM('KPI_FY 24-25'!E75,'KPI_FY 24-25'!AA75,'KPI_FY 24-25'!AW75,'KPI_FY 24-25'!BS75,'KPI_FY 24-25'!CO75,'KPI_FY 24-25'!DK75,'KPI_FY 24-25'!EG75,'KPI_FY 24-25'!FC75,'KPI_FY 24-25'!FY75,'KPI_FY 24-25'!GU75,'KPI_FY 24-25'!HQ75,'KPI_FY 24-25'!IM75)</f>
        <v>1539.77</v>
      </c>
      <c r="F70" s="6">
        <f>SUM('KPI_FY 24-25'!F75,'KPI_FY 24-25'!AB75,'KPI_FY 24-25'!AX75,'KPI_FY 24-25'!BT75,'KPI_FY 24-25'!CP75,'KPI_FY 24-25'!DL75,'KPI_FY 24-25'!EH75,'KPI_FY 24-25'!FD75,'KPI_FY 24-25'!FZ75,'KPI_FY 24-25'!GV75,'KPI_FY 24-25'!HR75,'KPI_FY 24-25'!IN75)</f>
        <v>18.66</v>
      </c>
      <c r="G70" s="69">
        <f t="shared" si="72"/>
        <v>2.1301369863013699E-3</v>
      </c>
      <c r="H70" s="8">
        <f>SUM('KPI_FY 24-25'!H75,'KPI_FY 24-25'!AD75,'KPI_FY 24-25'!AZ75,'KPI_FY 24-25'!BV75,'KPI_FY 24-25'!CR75,'KPI_FY 24-25'!DN75,'KPI_FY 24-25'!EJ75,'KPI_FY 24-25'!FF75,'KPI_FY 24-25'!GB75,'KPI_FY 24-25'!GX75,'KPI_FY 24-25'!HT75,'KPI_FY 24-25'!IP75)</f>
        <v>0</v>
      </c>
      <c r="I70" s="69">
        <f t="shared" si="73"/>
        <v>0</v>
      </c>
      <c r="J70" s="6">
        <f>SUM('KPI_FY 24-25'!J75,'KPI_FY 24-25'!AF75,'KPI_FY 24-25'!BB75,'KPI_FY 24-25'!BX75,'KPI_FY 24-25'!CT75,'KPI_FY 24-25'!DP75,'KPI_FY 24-25'!EL75,'KPI_FY 24-25'!FH75,'KPI_FY 24-25'!GD75,'KPI_FY 24-25'!GZ75,'KPI_FY 24-25'!HV75,'KPI_FY 24-25'!IR75)</f>
        <v>59.34</v>
      </c>
      <c r="K70" s="69">
        <f t="shared" si="74"/>
        <v>6.7739726027397267E-3</v>
      </c>
      <c r="L70" s="8">
        <f>SUM('KPI_FY 24-25'!L75,'KPI_FY 24-25'!AH75,'KPI_FY 24-25'!BD75,'KPI_FY 24-25'!BZ75,'KPI_FY 24-25'!CV75,'KPI_FY 24-25'!DR75,'KPI_FY 24-25'!EN75,'KPI_FY 24-25'!FJ75,'KPI_FY 24-25'!GF75,'KPI_FY 24-25'!HB75,'KPI_FY 24-25'!HX75,'KPI_FY 24-25'!IT75)</f>
        <v>0</v>
      </c>
      <c r="M70" s="69">
        <f t="shared" si="75"/>
        <v>0.99109589041095891</v>
      </c>
      <c r="N70" s="69">
        <f t="shared" si="68"/>
        <v>0.99109589041095891</v>
      </c>
      <c r="O70" s="15">
        <v>25</v>
      </c>
      <c r="P70" s="149">
        <f t="shared" si="69"/>
        <v>2.6058213434363609E-3</v>
      </c>
      <c r="Q70" s="69">
        <f t="shared" si="70"/>
        <v>0.79539092237442932</v>
      </c>
      <c r="R70" s="69">
        <f t="shared" si="76"/>
        <v>0</v>
      </c>
      <c r="S70" s="137">
        <f>SUM('KPI_FY 24-25'!T75,'KPI_FY 24-25'!AP75,'KPI_FY 24-25'!BL75,'KPI_FY 24-25'!CH75,'KPI_FY 24-25'!DD75,'KPI_FY 24-25'!DZ75,'KPI_FY 24-25'!EV75,'KPI_FY 24-25'!FR75,'KPI_FY 24-25'!GN75,'KPI_FY 24-25'!HJ75,'KPI_FY 24-25'!IF75,'KPI_FY 24-25'!JB75)</f>
        <v>174190.61200000002</v>
      </c>
      <c r="T70" s="8">
        <v>25</v>
      </c>
      <c r="U70" s="150">
        <f t="shared" si="71"/>
        <v>1</v>
      </c>
    </row>
    <row r="71" spans="1:25" x14ac:dyDescent="0.25">
      <c r="A71" s="8"/>
      <c r="B71" s="37" t="s">
        <v>71</v>
      </c>
      <c r="C71" s="6">
        <f>SUM('KPI_FY 24-25'!C76,'KPI_FY 24-25'!Y76,'KPI_FY 24-25'!AU76,'KPI_FY 24-25'!BQ76,'KPI_FY 24-25'!CM76,'KPI_FY 24-25'!DI76,'KPI_FY 24-25'!EE76,'KPI_FY 24-25'!FA76,'KPI_FY 24-25'!FW76,'KPI_FY 24-25'!GS76,'KPI_FY 24-25'!HO76,'KPI_FY 24-25'!IK76)</f>
        <v>8486.4500000000007</v>
      </c>
      <c r="D71" s="6">
        <f>SUM('KPI_FY 24-25'!D76,'KPI_FY 24-25'!Z76,'KPI_FY 24-25'!AV76,'KPI_FY 24-25'!BR76,'KPI_FY 24-25'!CN76,'KPI_FY 24-25'!DJ76,'KPI_FY 24-25'!EF76,'KPI_FY 24-25'!FB76,'KPI_FY 24-25'!FX76,'KPI_FY 24-25'!GT76,'KPI_FY 24-25'!HP76,'KPI_FY 24-25'!IL76)</f>
        <v>6942.32</v>
      </c>
      <c r="E71" s="6">
        <f>SUM('KPI_FY 24-25'!E76,'KPI_FY 24-25'!AA76,'KPI_FY 24-25'!AW76,'KPI_FY 24-25'!BS76,'KPI_FY 24-25'!CO76,'KPI_FY 24-25'!DK76,'KPI_FY 24-25'!EG76,'KPI_FY 24-25'!FC76,'KPI_FY 24-25'!FY76,'KPI_FY 24-25'!GU76,'KPI_FY 24-25'!HQ76,'KPI_FY 24-25'!IM76)</f>
        <v>1544.13</v>
      </c>
      <c r="F71" s="6">
        <f>SUM('KPI_FY 24-25'!F76,'KPI_FY 24-25'!AB76,'KPI_FY 24-25'!AX76,'KPI_FY 24-25'!BT76,'KPI_FY 24-25'!CP76,'KPI_FY 24-25'!DL76,'KPI_FY 24-25'!EH76,'KPI_FY 24-25'!FD76,'KPI_FY 24-25'!FZ76,'KPI_FY 24-25'!GV76,'KPI_FY 24-25'!HR76,'KPI_FY 24-25'!IN76)</f>
        <v>215.73000000000002</v>
      </c>
      <c r="G71" s="69">
        <f t="shared" si="72"/>
        <v>2.4626712328767127E-2</v>
      </c>
      <c r="H71" s="8">
        <f>SUM('KPI_FY 24-25'!H76,'KPI_FY 24-25'!AD76,'KPI_FY 24-25'!AZ76,'KPI_FY 24-25'!BV76,'KPI_FY 24-25'!CR76,'KPI_FY 24-25'!DN76,'KPI_FY 24-25'!EJ76,'KPI_FY 24-25'!FF76,'KPI_FY 24-25'!GB76,'KPI_FY 24-25'!GX76,'KPI_FY 24-25'!HT76,'KPI_FY 24-25'!IP76)</f>
        <v>0</v>
      </c>
      <c r="I71" s="69">
        <f t="shared" si="73"/>
        <v>0</v>
      </c>
      <c r="J71" s="6">
        <f>SUM('KPI_FY 24-25'!J76,'KPI_FY 24-25'!AF76,'KPI_FY 24-25'!BB76,'KPI_FY 24-25'!BX76,'KPI_FY 24-25'!CT76,'KPI_FY 24-25'!DP76,'KPI_FY 24-25'!EL76,'KPI_FY 24-25'!FH76,'KPI_FY 24-25'!GD76,'KPI_FY 24-25'!GZ76,'KPI_FY 24-25'!HV76,'KPI_FY 24-25'!IR76)</f>
        <v>57.82</v>
      </c>
      <c r="K71" s="69">
        <f t="shared" si="74"/>
        <v>6.6004566210045666E-3</v>
      </c>
      <c r="L71" s="8">
        <f>SUM('KPI_FY 24-25'!L76,'KPI_FY 24-25'!AH76,'KPI_FY 24-25'!BD76,'KPI_FY 24-25'!BZ76,'KPI_FY 24-25'!CV76,'KPI_FY 24-25'!DR76,'KPI_FY 24-25'!EN76,'KPI_FY 24-25'!FJ76,'KPI_FY 24-25'!GF76,'KPI_FY 24-25'!HB76,'KPI_FY 24-25'!HX76,'KPI_FY 24-25'!IT76)</f>
        <v>0</v>
      </c>
      <c r="M71" s="69">
        <f t="shared" si="75"/>
        <v>0.96877283105022838</v>
      </c>
      <c r="N71" s="69">
        <f t="shared" si="68"/>
        <v>0.96877283105022838</v>
      </c>
      <c r="O71" s="15">
        <v>25</v>
      </c>
      <c r="P71" s="149">
        <f t="shared" si="69"/>
        <v>3.0138096269235342E-2</v>
      </c>
      <c r="Q71" s="69">
        <f t="shared" si="70"/>
        <v>0.76726160730593629</v>
      </c>
      <c r="R71" s="69">
        <f t="shared" si="76"/>
        <v>0</v>
      </c>
      <c r="S71" s="137">
        <f>SUM('KPI_FY 24-25'!T76,'KPI_FY 24-25'!AP76,'KPI_FY 24-25'!BL76,'KPI_FY 24-25'!CH76,'KPI_FY 24-25'!DD76,'KPI_FY 24-25'!DZ76,'KPI_FY 24-25'!EV76,'KPI_FY 24-25'!FR76,'KPI_FY 24-25'!GN76,'KPI_FY 24-25'!HJ76,'KPI_FY 24-25'!IF76,'KPI_FY 24-25'!JB76)</f>
        <v>168030.29200000004</v>
      </c>
      <c r="T71" s="8">
        <v>25</v>
      </c>
      <c r="U71" s="150">
        <f t="shared" si="71"/>
        <v>1</v>
      </c>
    </row>
    <row r="72" spans="1:25" x14ac:dyDescent="0.25">
      <c r="A72" s="8"/>
      <c r="B72" s="37" t="s">
        <v>72</v>
      </c>
      <c r="C72" s="6">
        <f>SUM('KPI_FY 24-25'!C77,'KPI_FY 24-25'!Y77,'KPI_FY 24-25'!AU77,'KPI_FY 24-25'!BQ77,'KPI_FY 24-25'!CM77,'KPI_FY 24-25'!DI77,'KPI_FY 24-25'!EE77,'KPI_FY 24-25'!FA77,'KPI_FY 24-25'!FW77,'KPI_FY 24-25'!GS77,'KPI_FY 24-25'!HO77,'KPI_FY 24-25'!IK77)</f>
        <v>8636.2999999999993</v>
      </c>
      <c r="D72" s="6">
        <f>SUM('KPI_FY 24-25'!D77,'KPI_FY 24-25'!Z77,'KPI_FY 24-25'!AV77,'KPI_FY 24-25'!BR77,'KPI_FY 24-25'!CN77,'KPI_FY 24-25'!DJ77,'KPI_FY 24-25'!EF77,'KPI_FY 24-25'!FB77,'KPI_FY 24-25'!FX77,'KPI_FY 24-25'!GT77,'KPI_FY 24-25'!HP77,'KPI_FY 24-25'!IL77)</f>
        <v>6751.5399999999991</v>
      </c>
      <c r="E72" s="6">
        <f>SUM('KPI_FY 24-25'!E77,'KPI_FY 24-25'!AA77,'KPI_FY 24-25'!AW77,'KPI_FY 24-25'!BS77,'KPI_FY 24-25'!CO77,'KPI_FY 24-25'!DK77,'KPI_FY 24-25'!EG77,'KPI_FY 24-25'!FC77,'KPI_FY 24-25'!FY77,'KPI_FY 24-25'!GU77,'KPI_FY 24-25'!HQ77,'KPI_FY 24-25'!IM77)</f>
        <v>1884.76</v>
      </c>
      <c r="F72" s="6">
        <f>SUM('KPI_FY 24-25'!F77,'KPI_FY 24-25'!AB77,'KPI_FY 24-25'!AX77,'KPI_FY 24-25'!BT77,'KPI_FY 24-25'!CP77,'KPI_FY 24-25'!DL77,'KPI_FY 24-25'!EH77,'KPI_FY 24-25'!FD77,'KPI_FY 24-25'!FZ77,'KPI_FY 24-25'!GV77,'KPI_FY 24-25'!HR77,'KPI_FY 24-25'!IN77)</f>
        <v>28.220000000000002</v>
      </c>
      <c r="G72" s="69">
        <f t="shared" si="72"/>
        <v>3.221461187214612E-3</v>
      </c>
      <c r="H72" s="8">
        <f>SUM('KPI_FY 24-25'!H77,'KPI_FY 24-25'!AD77,'KPI_FY 24-25'!AZ77,'KPI_FY 24-25'!BV77,'KPI_FY 24-25'!CR77,'KPI_FY 24-25'!DN77,'KPI_FY 24-25'!EJ77,'KPI_FY 24-25'!FF77,'KPI_FY 24-25'!GB77,'KPI_FY 24-25'!GX77,'KPI_FY 24-25'!HT77,'KPI_FY 24-25'!IP77)</f>
        <v>0</v>
      </c>
      <c r="I72" s="69">
        <f t="shared" si="73"/>
        <v>0</v>
      </c>
      <c r="J72" s="6">
        <f>SUM('KPI_FY 24-25'!J77,'KPI_FY 24-25'!AF77,'KPI_FY 24-25'!BB77,'KPI_FY 24-25'!BX77,'KPI_FY 24-25'!CT77,'KPI_FY 24-25'!DP77,'KPI_FY 24-25'!EL77,'KPI_FY 24-25'!FH77,'KPI_FY 24-25'!GD77,'KPI_FY 24-25'!GZ77,'KPI_FY 24-25'!HV77,'KPI_FY 24-25'!IR77)</f>
        <v>95.48</v>
      </c>
      <c r="K72" s="69">
        <f t="shared" si="74"/>
        <v>1.0899543378995433E-2</v>
      </c>
      <c r="L72" s="8">
        <f>SUM('KPI_FY 24-25'!L77,'KPI_FY 24-25'!AH77,'KPI_FY 24-25'!BD77,'KPI_FY 24-25'!BZ77,'KPI_FY 24-25'!CV77,'KPI_FY 24-25'!DR77,'KPI_FY 24-25'!EN77,'KPI_FY 24-25'!FJ77,'KPI_FY 24-25'!GF77,'KPI_FY 24-25'!HB77,'KPI_FY 24-25'!HX77,'KPI_FY 24-25'!IT77)</f>
        <v>0</v>
      </c>
      <c r="M72" s="69">
        <f t="shared" si="75"/>
        <v>0.98587899543378987</v>
      </c>
      <c r="N72" s="69">
        <f t="shared" si="68"/>
        <v>0.98587899543378987</v>
      </c>
      <c r="O72" s="15">
        <v>20</v>
      </c>
      <c r="P72" s="149">
        <f t="shared" si="69"/>
        <v>4.1623892291172554E-3</v>
      </c>
      <c r="Q72" s="69">
        <f t="shared" si="70"/>
        <v>0.82483412100456621</v>
      </c>
      <c r="R72" s="69">
        <f t="shared" si="76"/>
        <v>0</v>
      </c>
      <c r="S72" s="137">
        <f>SUM('KPI_FY 24-25'!T77,'KPI_FY 24-25'!AP77,'KPI_FY 24-25'!BL77,'KPI_FY 24-25'!CH77,'KPI_FY 24-25'!DD77,'KPI_FY 24-25'!DZ77,'KPI_FY 24-25'!EV77,'KPI_FY 24-25'!FR77,'KPI_FY 24-25'!GN77,'KPI_FY 24-25'!HJ77,'KPI_FY 24-25'!IF77,'KPI_FY 24-25'!JB77)</f>
        <v>144510.93799999999</v>
      </c>
      <c r="T72" s="8">
        <v>20</v>
      </c>
      <c r="U72" s="150">
        <f t="shared" si="71"/>
        <v>0.99999999999999989</v>
      </c>
    </row>
    <row r="73" spans="1:25" x14ac:dyDescent="0.25">
      <c r="A73" s="8"/>
      <c r="B73" s="37" t="s">
        <v>73</v>
      </c>
      <c r="C73" s="6">
        <f>SUM('KPI_FY 24-25'!C78,'KPI_FY 24-25'!Y78,'KPI_FY 24-25'!AU78,'KPI_FY 24-25'!BQ78,'KPI_FY 24-25'!CM78,'KPI_FY 24-25'!DI78,'KPI_FY 24-25'!EE78,'KPI_FY 24-25'!FA78,'KPI_FY 24-25'!FW78,'KPI_FY 24-25'!GS78,'KPI_FY 24-25'!HO78,'KPI_FY 24-25'!IK78)</f>
        <v>7764.8300000000008</v>
      </c>
      <c r="D73" s="6">
        <f>SUM('KPI_FY 24-25'!D78,'KPI_FY 24-25'!Z78,'KPI_FY 24-25'!AV78,'KPI_FY 24-25'!BR78,'KPI_FY 24-25'!CN78,'KPI_FY 24-25'!DJ78,'KPI_FY 24-25'!EF78,'KPI_FY 24-25'!FB78,'KPI_FY 24-25'!FX78,'KPI_FY 24-25'!GT78,'KPI_FY 24-25'!HP78,'KPI_FY 24-25'!IL78)</f>
        <v>5864.369999999999</v>
      </c>
      <c r="E73" s="6">
        <f>SUM('KPI_FY 24-25'!E78,'KPI_FY 24-25'!AA78,'KPI_FY 24-25'!AW78,'KPI_FY 24-25'!BS78,'KPI_FY 24-25'!CO78,'KPI_FY 24-25'!DK78,'KPI_FY 24-25'!EG78,'KPI_FY 24-25'!FC78,'KPI_FY 24-25'!FY78,'KPI_FY 24-25'!GU78,'KPI_FY 24-25'!HQ78,'KPI_FY 24-25'!IM78)</f>
        <v>1900.4599999999996</v>
      </c>
      <c r="F73" s="6">
        <f>SUM('KPI_FY 24-25'!F78,'KPI_FY 24-25'!AB78,'KPI_FY 24-25'!AX78,'KPI_FY 24-25'!BT78,'KPI_FY 24-25'!CP78,'KPI_FY 24-25'!DL78,'KPI_FY 24-25'!EH78,'KPI_FY 24-25'!FD78,'KPI_FY 24-25'!FZ78,'KPI_FY 24-25'!GV78,'KPI_FY 24-25'!HR78,'KPI_FY 24-25'!IN78)</f>
        <v>880.2</v>
      </c>
      <c r="G73" s="69">
        <f t="shared" si="72"/>
        <v>0.10047945205479453</v>
      </c>
      <c r="H73" s="8">
        <f>SUM('KPI_FY 24-25'!H78,'KPI_FY 24-25'!AD78,'KPI_FY 24-25'!AZ78,'KPI_FY 24-25'!BV78,'KPI_FY 24-25'!CR78,'KPI_FY 24-25'!DN78,'KPI_FY 24-25'!EJ78,'KPI_FY 24-25'!FF78,'KPI_FY 24-25'!GB78,'KPI_FY 24-25'!GX78,'KPI_FY 24-25'!HT78,'KPI_FY 24-25'!IP78)</f>
        <v>26.38</v>
      </c>
      <c r="I73" s="69">
        <f t="shared" si="73"/>
        <v>3.0114155251141552E-3</v>
      </c>
      <c r="J73" s="6">
        <f>SUM('KPI_FY 24-25'!J78,'KPI_FY 24-25'!AF78,'KPI_FY 24-25'!BB78,'KPI_FY 24-25'!BX78,'KPI_FY 24-25'!CT78,'KPI_FY 24-25'!DP78,'KPI_FY 24-25'!EL78,'KPI_FY 24-25'!FH78,'KPI_FY 24-25'!GD78,'KPI_FY 24-25'!GZ78,'KPI_FY 24-25'!HV78,'KPI_FY 24-25'!IR78)</f>
        <v>88.59</v>
      </c>
      <c r="K73" s="69">
        <f t="shared" si="74"/>
        <v>1.0113013698630137E-2</v>
      </c>
      <c r="L73" s="8">
        <f>SUM('KPI_FY 24-25'!L78,'KPI_FY 24-25'!AH78,'KPI_FY 24-25'!BD78,'KPI_FY 24-25'!BZ78,'KPI_FY 24-25'!CV78,'KPI_FY 24-25'!DR78,'KPI_FY 24-25'!EN78,'KPI_FY 24-25'!FJ78,'KPI_FY 24-25'!GF78,'KPI_FY 24-25'!HB78,'KPI_FY 24-25'!HX78,'KPI_FY 24-25'!IT78)</f>
        <v>0</v>
      </c>
      <c r="M73" s="69">
        <f t="shared" si="75"/>
        <v>0.88639611872146129</v>
      </c>
      <c r="N73" s="69">
        <f t="shared" si="68"/>
        <v>0.88639611872146129</v>
      </c>
      <c r="O73" s="15">
        <v>20</v>
      </c>
      <c r="P73" s="149">
        <f t="shared" si="69"/>
        <v>0.13050498400935867</v>
      </c>
      <c r="Q73" s="69">
        <f t="shared" si="70"/>
        <v>0.66996414383561642</v>
      </c>
      <c r="R73" s="69">
        <f t="shared" si="76"/>
        <v>0</v>
      </c>
      <c r="S73" s="137">
        <f>SUM('KPI_FY 24-25'!T78,'KPI_FY 24-25'!AP78,'KPI_FY 24-25'!BL78,'KPI_FY 24-25'!CH78,'KPI_FY 24-25'!DD78,'KPI_FY 24-25'!DZ78,'KPI_FY 24-25'!EV78,'KPI_FY 24-25'!FR78,'KPI_FY 24-25'!GN78,'KPI_FY 24-25'!HJ78,'KPI_FY 24-25'!IF78,'KPI_FY 24-25'!JB78)</f>
        <v>117377.71799999999</v>
      </c>
      <c r="T73" s="8">
        <v>20</v>
      </c>
      <c r="U73" s="150">
        <f t="shared" si="71"/>
        <v>1</v>
      </c>
    </row>
    <row r="74" spans="1:25" x14ac:dyDescent="0.25">
      <c r="B74" s="29" t="s">
        <v>92</v>
      </c>
      <c r="C74" s="47">
        <f>SUM(C60:C73)</f>
        <v>107422.26</v>
      </c>
      <c r="D74" s="47">
        <f t="shared" ref="D74:L74" si="77">SUM(D60:D73)</f>
        <v>81480.209999999977</v>
      </c>
      <c r="E74" s="47">
        <f t="shared" si="77"/>
        <v>25942.05000000001</v>
      </c>
      <c r="F74" s="47">
        <f t="shared" si="77"/>
        <v>13367.449999999997</v>
      </c>
      <c r="G74" s="79">
        <f>(G60*$O$60+G61*$O$61+G62*$O$62+G63*$O$63+G64*$O$64+G65*$O$65+G66*$O$66+G67*$O$67+G68*$O$68+G69*$O$69+G70*$O$70+G71*$O$71+G72*$O$72+G73*$O$73)/$O$74</f>
        <v>0.11067826685468707</v>
      </c>
      <c r="H74" s="47">
        <f t="shared" si="77"/>
        <v>1101.75</v>
      </c>
      <c r="I74" s="79">
        <f>(I60*$O$60+I61*$O$61+I62*$O$62+I63*$O$63+I64*$O$64+I65*$O$65+I66*$O$66+I67*$O$67+I68*$O$68+I69*$O$69+I70*$O$70+I71*$O$71+I72*$O$72+I73*$O$73)/$O$74</f>
        <v>9.2035488853075484E-3</v>
      </c>
      <c r="J74" s="30">
        <f t="shared" ref="J74" si="78">SUM(J60:J73)</f>
        <v>748.54000000000008</v>
      </c>
      <c r="K74" s="79">
        <f>(K60*$O$60+K61*$O$61+K62*$O$62+K63*$O$63+K64*$O$64+K65*$O$65+K66*$O$66+K67*$O$67+K68*$O$68+K69*$O$69+K70*$O$70+K71*$O$71+K72*$O$72+K73*$O$73)/$O$74</f>
        <v>5.9740632554391611E-3</v>
      </c>
      <c r="L74" s="29">
        <f t="shared" si="77"/>
        <v>0</v>
      </c>
      <c r="M74" s="79">
        <f>(M60*$O$60+M61*$O$61+M62*$O$62+M63*$O$63+M64*$O$64+M65*$O$65+M66*$O$66+M67*$O$67+M68*$O$68+M69*$O$69+M70*$O$70+M71*$O$71+M72*$O$72+M73*$O$73)/$O$74</f>
        <v>0.87414412100456618</v>
      </c>
      <c r="N74" s="209">
        <f>(N60*$O$60+N61*$O$61+N62*$O$62+N63*$O$63+N64*$O$64+N65*$O$65+N66*$O$66+N67*$O$67+N68*$O$68+N69*$O$69+N70*$O$70+N71*$O$71+N72*$O$72+N73*$O$73)/$O$74</f>
        <v>0.87414412100456618</v>
      </c>
      <c r="O74" s="31">
        <f>SUM(O60:O73)</f>
        <v>340</v>
      </c>
      <c r="P74" s="79">
        <f>(P60*$O$60+P61*$O$61+P62*$O$62+P63*$O$63+P64*$O$64+P65*$O$65+P66*$O$66+P67*$O$67+P68*$O$68+P69*$O$69+P70*$O$70+P71*$O$71+P72*$O$72+P73*$O$73)/$O$74</f>
        <v>0.12924374516609374</v>
      </c>
      <c r="Q74" s="79">
        <f>(Q60*$O$60+Q61*$O$61+Q62*$O$62+Q63*$O$63+Q64*$O$64+Q65*$O$65+Q66*$O$66+Q67*$O$67+Q68*$O$68+Q69*$O$69+Q70*$O$70+Q71*$O$71+Q72*$O$72+Q73*$O$73)/$O$74</f>
        <v>0.66625088302444269</v>
      </c>
      <c r="R74" s="79">
        <f>(R60*$O$60+R61*$O$61+R62*$O$62+R63*$O$63+R64*$O$64+R65*$O$65+R66*$O$66+R67*$O$67+R68*$O$68+R69*$O$69+R70*$O$70+R71*$O$71+R72*$O$72+R73*$O$73)/$O$74</f>
        <v>0</v>
      </c>
      <c r="S74" s="62">
        <f>SUM(S60:S73)</f>
        <v>1984361.6300000004</v>
      </c>
      <c r="T74" s="29">
        <f>SUM(T60:T73)</f>
        <v>340</v>
      </c>
      <c r="U74" s="151"/>
    </row>
    <row r="75" spans="1:25" x14ac:dyDescent="0.25">
      <c r="B75" s="74" t="s">
        <v>86</v>
      </c>
      <c r="C75" s="46">
        <f>SUM(C74,C59,C54,C51,C47,C44,C41,C38,C35,C31)</f>
        <v>263784.20999999996</v>
      </c>
      <c r="D75" s="46">
        <f>SUM(D74,D59,D54,D51,D47,D44,D41,D38,D35,D31)</f>
        <v>133012.96</v>
      </c>
      <c r="E75" s="46">
        <f>SUM(E74,E59,E54,E51,E47,E44,E41,E38,E35,E31)</f>
        <v>131037.95999999999</v>
      </c>
      <c r="F75" s="46">
        <f>SUM(F74,F59,F54,F51,F47,F44,F41,F38,F35,F31)</f>
        <v>78924.184999999998</v>
      </c>
      <c r="G75" s="210">
        <f>(G31*$O$31+G35*$O$35+G38*$O$38+G41*$O$41+G44*$O$44+G47*$O$47+G51*$O$51+G54*$O$54+G59*$O$59+G74*$O$74)/$O$75</f>
        <v>0.19961301333591011</v>
      </c>
      <c r="H75" s="46">
        <f>SUM(H74,H59,H54,H51,H47,H44,H41,H38,H35,H31)</f>
        <v>32755.87</v>
      </c>
      <c r="I75" s="210">
        <f>(I31*$O$31+I35*$O$35+I38*$O$38+I41*$O$41+I44*$O$44+I47*$O$47+I51*$O$51+I54*$O$54+I59*$O$59+I74*$O$74)/$O$75</f>
        <v>0.16018964236964714</v>
      </c>
      <c r="J75" s="46">
        <f>SUM(J74,J59,J54,J51,J47,J44,J41,J38,J35,J31)</f>
        <v>1240.1350000000002</v>
      </c>
      <c r="K75" s="210">
        <f>(K31*$O$31+K35*$O$35+K38*$O$38+K41*$O$41+K44*$O$44+K47*$O$47+K51*$O$51+K54*$O$54+K59*$O$59+K74*$O$74)/$O$75</f>
        <v>3.1614831071120988E-3</v>
      </c>
      <c r="L75" s="6">
        <f>SUM(L74,L59,L54,L51,L47,L44,L41,L38,L35,L31)</f>
        <v>0</v>
      </c>
      <c r="M75" s="210">
        <f>(M31*$O$31+M35*$O$35+M38*$O$38+M41*$O$41+M44*$O$44+M47*$O$47+M51*$O$51+M54*$O$54+M59*$O$59+M74*$O$74)/$O$75</f>
        <v>0.6370380380879257</v>
      </c>
      <c r="N75" s="213">
        <f>(N31*$O$31+N35*$O$35+N38*$O$38+N41*$O$41+N44*$O$44+N47*$O$47+N51*$O$51+N54*$O$54+N59*$O$59+N74*$O$74)/$O$75</f>
        <v>0.6370380380879257</v>
      </c>
      <c r="O75" s="46">
        <f>SUM(O74,O59,O54,O51,O47,O44,O41,O38,O35,O31)</f>
        <v>1573.6</v>
      </c>
      <c r="P75" s="210">
        <f>(P31*$O$31+P35*$O$35+P38*$O$38+P41*$O$41+P44*$O$44+P47*$O$47+P51*$O$51+P54*$O$54+P59*$O$59+P74*$O$74)/$O$75</f>
        <v>0.28900563355889008</v>
      </c>
      <c r="Q75" s="210">
        <f>(Q31*$O$31+Q35*$O$35+Q38*$O$38+Q41*$O$41+Q44*$O$44+Q47*$O$47+Q51*$O$51+Q54*$O$54+Q59*$O$59+Q74*$O$74)/$O$75</f>
        <v>0.27488540542234541</v>
      </c>
      <c r="R75" s="210">
        <f>(R31*$O$31+R35*$O$35+R38*$O$38+R41*$O$41+R44*$O$44+R47*$O$47+R51*$O$51+R54*$O$54+R59*$O$59+R74*$O$74)/$O$75</f>
        <v>0</v>
      </c>
      <c r="S75" s="46">
        <f>SUM(S74,S59,S54,S51,S47,S44,S41,S38,S35,S31)</f>
        <v>3789222.7440000009</v>
      </c>
      <c r="T75" s="42">
        <f>SUM(T74,T59,T54,T51,T47,T44,T41,T38,T35,T31)</f>
        <v>1629</v>
      </c>
    </row>
    <row r="76" spans="1:25" x14ac:dyDescent="0.25">
      <c r="B76" s="74" t="s">
        <v>93</v>
      </c>
      <c r="C76" s="46">
        <f>SUM(C75,C20)</f>
        <v>327632.28999999998</v>
      </c>
      <c r="D76" s="46">
        <f>SUM(D75,D20)</f>
        <v>196570.03999999998</v>
      </c>
      <c r="E76" s="46">
        <f>SUM(E75,E20)</f>
        <v>131328.95999999999</v>
      </c>
      <c r="F76" s="46">
        <f>SUM(F75,F20)</f>
        <v>101993.355</v>
      </c>
      <c r="G76" s="82">
        <f>(G20*$O$20+G75*$O$75)/$O$76</f>
        <v>0.24846714026778424</v>
      </c>
      <c r="H76" s="46">
        <f>SUM(H75,H20)</f>
        <v>48075.119999999995</v>
      </c>
      <c r="I76" s="82">
        <f>(I20*$O$20+I75*$O$75)/$O$76</f>
        <v>0.15187385589387242</v>
      </c>
      <c r="J76" s="46">
        <f>SUM(J75,J20)</f>
        <v>4123.6350000000002</v>
      </c>
      <c r="K76" s="82">
        <f>(K20*$O$20+K75*$O$75)/$O$76</f>
        <v>1.1147048524675509E-2</v>
      </c>
      <c r="L76" s="46">
        <f>SUM(L75,L20)</f>
        <v>5877.2874279749476</v>
      </c>
      <c r="M76" s="82">
        <f>(M20*$O$20+M75*$O$75)/$O$76</f>
        <v>0.58851281631270669</v>
      </c>
      <c r="N76" s="82">
        <f>(N20*$O$20+N75*$O$75)/$O$76</f>
        <v>0.53740194687212717</v>
      </c>
      <c r="O76" s="46">
        <f>SUM(O75,O20)</f>
        <v>3978.6</v>
      </c>
      <c r="P76" s="82">
        <f>(P20*$O$20+P75*$O$75)/$O$76</f>
        <v>0.36788160581665025</v>
      </c>
      <c r="Q76" s="82">
        <f>(Q20*$O$20+Q75*$O$75)/$O$76</f>
        <v>0.34365532780742269</v>
      </c>
      <c r="R76" s="82">
        <f>(R20*$O$20+R75*$O$75)/$O$76</f>
        <v>5.1110869440579652E-2</v>
      </c>
      <c r="S76" s="46">
        <f>SUM(S75,S20)</f>
        <v>11977259.684</v>
      </c>
      <c r="T76" s="42">
        <f>SUM(T10,T13,T16,T19,T31,T35,T38,T41,T44,T47,T51,T54,T59,T74)</f>
        <v>4421</v>
      </c>
    </row>
    <row r="77" spans="1:25" ht="27.75" customHeight="1" x14ac:dyDescent="0.25">
      <c r="C77" s="6"/>
      <c r="F77" s="74"/>
      <c r="G77" s="74"/>
      <c r="H77" s="74"/>
      <c r="I77" s="74"/>
      <c r="J77" s="74"/>
      <c r="T77" s="63"/>
      <c r="V77" s="65"/>
    </row>
    <row r="78" spans="1:25" ht="27.75" customHeight="1" x14ac:dyDescent="0.2">
      <c r="A78" s="58"/>
      <c r="B78" s="74"/>
      <c r="C78" s="71"/>
      <c r="D78" s="46"/>
      <c r="E78" s="46"/>
      <c r="F78" s="46"/>
      <c r="H78" s="46"/>
      <c r="J78" s="46"/>
      <c r="K78" s="46"/>
      <c r="R78" s="58"/>
      <c r="S78" s="70"/>
      <c r="V78" s="199"/>
      <c r="W78" s="200" t="s">
        <v>103</v>
      </c>
      <c r="X78" s="200" t="s">
        <v>104</v>
      </c>
      <c r="Y78" s="201" t="s">
        <v>105</v>
      </c>
    </row>
    <row r="79" spans="1:25" ht="15" customHeight="1" x14ac:dyDescent="0.25">
      <c r="B79" s="69"/>
      <c r="C79" s="69"/>
      <c r="D79" s="46"/>
      <c r="V79" s="202" t="s">
        <v>106</v>
      </c>
      <c r="W79" s="203">
        <v>0.4294</v>
      </c>
      <c r="X79" s="203">
        <v>0.47221000000000002</v>
      </c>
      <c r="Y79" s="203">
        <f>1-(W79/X79)</f>
        <v>9.0658817051735507E-2</v>
      </c>
    </row>
    <row r="80" spans="1:25" ht="15" customHeight="1" x14ac:dyDescent="0.25">
      <c r="B80" s="69"/>
      <c r="C80" s="46"/>
      <c r="V80" s="202" t="s">
        <v>107</v>
      </c>
      <c r="W80" s="203">
        <v>0.61250000000000004</v>
      </c>
      <c r="X80" s="203">
        <v>0.63704000000000005</v>
      </c>
      <c r="Y80" s="203">
        <f>1-(W80/X80)</f>
        <v>3.852191385156345E-2</v>
      </c>
    </row>
    <row r="81" spans="1:11" ht="15" customHeight="1" x14ac:dyDescent="0.25">
      <c r="B81" s="69"/>
      <c r="C81" s="46"/>
      <c r="F81" s="42"/>
      <c r="H81" s="42"/>
      <c r="J81" s="42"/>
      <c r="K81" s="42"/>
    </row>
    <row r="82" spans="1:11" ht="15" customHeight="1" x14ac:dyDescent="0.25">
      <c r="B82" s="69"/>
      <c r="F82" s="42"/>
      <c r="J82" s="42"/>
    </row>
    <row r="83" spans="1:11" ht="15" customHeight="1" x14ac:dyDescent="0.25">
      <c r="B83" s="69"/>
    </row>
    <row r="84" spans="1:11" ht="15" customHeight="1" x14ac:dyDescent="0.25">
      <c r="B84" s="68"/>
    </row>
    <row r="86" spans="1:11" ht="15" customHeight="1" x14ac:dyDescent="0.25">
      <c r="A86" s="64"/>
      <c r="B86" s="74"/>
      <c r="C86" s="71"/>
    </row>
    <row r="87" spans="1:11" ht="15" customHeight="1" x14ac:dyDescent="0.25">
      <c r="B87" s="69"/>
    </row>
    <row r="88" spans="1:11" ht="15" customHeight="1" x14ac:dyDescent="0.25">
      <c r="B88" s="69"/>
    </row>
    <row r="89" spans="1:11" ht="15" customHeight="1" x14ac:dyDescent="0.25">
      <c r="B89" s="69"/>
    </row>
    <row r="90" spans="1:11" ht="15" customHeight="1" x14ac:dyDescent="0.25">
      <c r="B90" s="69"/>
    </row>
    <row r="91" spans="1:11" ht="15" customHeight="1" x14ac:dyDescent="0.25">
      <c r="B91" s="69"/>
    </row>
    <row r="92" spans="1:11" ht="15" customHeight="1" x14ac:dyDescent="0.25">
      <c r="B92" s="68"/>
    </row>
    <row r="94" spans="1:11" ht="15" customHeight="1" x14ac:dyDescent="0.25">
      <c r="A94" s="64"/>
      <c r="B94" s="74"/>
    </row>
    <row r="95" spans="1:11" ht="15" customHeight="1" x14ac:dyDescent="0.25">
      <c r="B95" s="69"/>
    </row>
    <row r="96" spans="1:11" ht="15" customHeight="1" x14ac:dyDescent="0.25">
      <c r="B96" s="69"/>
    </row>
    <row r="97" spans="2:2" ht="15" customHeight="1" x14ac:dyDescent="0.25">
      <c r="B97" s="69"/>
    </row>
    <row r="98" spans="2:2" ht="15" customHeight="1" x14ac:dyDescent="0.25">
      <c r="B98" s="69"/>
    </row>
    <row r="99" spans="2:2" ht="15" customHeight="1" x14ac:dyDescent="0.25">
      <c r="B99" s="69"/>
    </row>
    <row r="100" spans="2:2" ht="15" customHeight="1" x14ac:dyDescent="0.25">
      <c r="B100" s="68"/>
    </row>
  </sheetData>
  <pageMargins left="0.7" right="0.7" top="0.75" bottom="0.75" header="0.3" footer="0.3"/>
  <ignoredErrors>
    <ignoredError sqref="H27:H30 J27:J30 H39:J47 H60:J73 H48:J50 G20 N19:O19 H21:J26 O74:O76 G74:G76 M31:R31 M35:R38 M41:R41 K39:K47 G31:G47 N20:O20 I19:M19 H20:M20 H4:M18 H19 I31 K31:K38 H32:J38 H31 L32:L38 L31 J31 L41:L48 H52:J58 G51:K51 G59:K59 G52:G58 K52:K58 M51:R59 I75:K76 H74:J74 H75:H76 K74:L74 L75:L76 L51:L54 M43:R47 M42:P42 R42 N10:R16 G10:G16" formula="1"/>
    <ignoredError sqref="Q42" evalError="1" formula="1"/>
    <ignoredError sqref="T10:T13" unlocked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E6A62-45D4-487E-9437-8BED5EAA892C}">
  <dimension ref="A1:Y78"/>
  <sheetViews>
    <sheetView workbookViewId="0">
      <selection activeCell="E6" sqref="A1:U76"/>
    </sheetView>
  </sheetViews>
  <sheetFormatPr defaultRowHeight="15" x14ac:dyDescent="0.25"/>
  <cols>
    <col min="1" max="1" width="14.5703125" bestFit="1" customWidth="1"/>
    <col min="2" max="2" width="9.140625" bestFit="1" customWidth="1"/>
    <col min="3" max="3" width="11.7109375" bestFit="1" customWidth="1"/>
    <col min="4" max="5" width="10.7109375" bestFit="1" customWidth="1"/>
    <col min="6" max="6" width="10.140625" bestFit="1" customWidth="1"/>
    <col min="7" max="7" width="10.7109375" bestFit="1" customWidth="1"/>
    <col min="8" max="8" width="10.7109375" customWidth="1"/>
    <col min="11" max="11" width="10.42578125" bestFit="1" customWidth="1"/>
    <col min="14" max="14" width="9.5703125" bestFit="1" customWidth="1"/>
    <col min="20" max="20" width="10.85546875" customWidth="1"/>
    <col min="21" max="21" width="12.140625" bestFit="1" customWidth="1"/>
  </cols>
  <sheetData>
    <row r="1" spans="1:21" x14ac:dyDescent="0.25">
      <c r="A1" s="4"/>
      <c r="B1" s="4" t="s">
        <v>100</v>
      </c>
      <c r="C1" s="4">
        <v>8760</v>
      </c>
      <c r="D1" s="4"/>
      <c r="E1" s="4"/>
      <c r="F1" s="4"/>
      <c r="G1" s="214" t="s">
        <v>108</v>
      </c>
      <c r="H1" s="4"/>
      <c r="I1" s="4"/>
      <c r="J1" s="4"/>
      <c r="K1" s="4"/>
      <c r="L1" s="4"/>
      <c r="M1" s="4"/>
      <c r="N1" s="4"/>
      <c r="O1" s="4"/>
      <c r="P1" s="4"/>
      <c r="Q1" s="4"/>
      <c r="R1" s="4"/>
      <c r="S1" s="4"/>
      <c r="T1" s="4"/>
      <c r="U1" s="4"/>
    </row>
    <row r="2" spans="1:21" ht="45" x14ac:dyDescent="0.25">
      <c r="A2" s="5" t="s">
        <v>13</v>
      </c>
      <c r="B2" s="5" t="s">
        <v>14</v>
      </c>
      <c r="C2" s="5" t="s">
        <v>15</v>
      </c>
      <c r="D2" s="5" t="s">
        <v>16</v>
      </c>
      <c r="E2" s="5" t="s">
        <v>17</v>
      </c>
      <c r="F2" s="5" t="s">
        <v>18</v>
      </c>
      <c r="G2" s="60" t="s">
        <v>101</v>
      </c>
      <c r="H2" s="60" t="s">
        <v>102</v>
      </c>
      <c r="I2" s="5" t="s">
        <v>116</v>
      </c>
      <c r="J2" s="5" t="s">
        <v>20</v>
      </c>
      <c r="K2" s="5" t="s">
        <v>115</v>
      </c>
      <c r="L2" s="5" t="s">
        <v>22</v>
      </c>
      <c r="M2" s="5" t="s">
        <v>114</v>
      </c>
      <c r="N2" s="5" t="s">
        <v>24</v>
      </c>
      <c r="O2" s="5" t="s">
        <v>109</v>
      </c>
      <c r="P2" s="5" t="s">
        <v>110</v>
      </c>
      <c r="Q2" s="5" t="s">
        <v>111</v>
      </c>
      <c r="R2" s="5" t="s">
        <v>112</v>
      </c>
      <c r="S2" s="5" t="s">
        <v>113</v>
      </c>
      <c r="T2" s="60" t="s">
        <v>30</v>
      </c>
      <c r="U2" s="5" t="s">
        <v>31</v>
      </c>
    </row>
    <row r="3" spans="1:21" x14ac:dyDescent="0.25">
      <c r="A3" s="4" t="s">
        <v>33</v>
      </c>
      <c r="B3" s="4" t="s">
        <v>34</v>
      </c>
      <c r="C3" s="4">
        <f>$C$1-($H$3+$J$3+$L$3)</f>
        <v>8346.9</v>
      </c>
      <c r="D3" s="4">
        <f t="shared" ref="D3:D8" si="0">$C$1-(E3+H3+J3+L3)</f>
        <v>8343.2999999999993</v>
      </c>
      <c r="E3" s="4">
        <v>3.6</v>
      </c>
      <c r="F3" s="4">
        <v>219.00000000000003</v>
      </c>
      <c r="G3" s="4">
        <v>41.2</v>
      </c>
      <c r="H3" s="4">
        <f>F3-G3</f>
        <v>177.8</v>
      </c>
      <c r="I3" s="215">
        <v>2.5000000000000004</v>
      </c>
      <c r="J3" s="4">
        <v>0</v>
      </c>
      <c r="K3" s="4">
        <v>0</v>
      </c>
      <c r="L3" s="4">
        <v>235.29999999999998</v>
      </c>
      <c r="M3" s="69">
        <v>2.6860730593607305E-2</v>
      </c>
      <c r="N3" s="216">
        <v>168.44487682672235</v>
      </c>
      <c r="O3" s="4">
        <v>94.813926940639263</v>
      </c>
      <c r="P3" s="4">
        <v>92.759817351598159</v>
      </c>
      <c r="Q3" s="4">
        <v>4.6817899097534355</v>
      </c>
      <c r="R3" s="4">
        <v>71.844534817351601</v>
      </c>
      <c r="S3" s="4">
        <v>2.0541095890410959</v>
      </c>
      <c r="T3" s="4">
        <v>1006973</v>
      </c>
      <c r="U3" s="4">
        <v>160</v>
      </c>
    </row>
    <row r="4" spans="1:21" x14ac:dyDescent="0.25">
      <c r="A4" s="4" t="s">
        <v>35</v>
      </c>
      <c r="B4" s="4" t="s">
        <v>36</v>
      </c>
      <c r="C4" s="4">
        <f t="shared" ref="C4:C8" si="1">$C$1-(H4+J4+L4)</f>
        <v>7736</v>
      </c>
      <c r="D4" s="4">
        <f t="shared" si="0"/>
        <v>7727.6</v>
      </c>
      <c r="E4" s="4">
        <v>8.4</v>
      </c>
      <c r="F4" s="4">
        <v>2077.8999999999996</v>
      </c>
      <c r="G4" s="4">
        <v>1569.7</v>
      </c>
      <c r="H4" s="4">
        <f t="shared" ref="H4:H8" si="2">F4-G4</f>
        <v>508.19999999999959</v>
      </c>
      <c r="I4" s="215">
        <v>23.720319634703191</v>
      </c>
      <c r="J4" s="4">
        <v>328.2</v>
      </c>
      <c r="K4" s="217">
        <v>3.7465753424657535</v>
      </c>
      <c r="L4" s="4">
        <v>187.6</v>
      </c>
      <c r="M4" s="69">
        <v>2.1415525114155249E-2</v>
      </c>
      <c r="N4" s="216">
        <v>221.14874739039666</v>
      </c>
      <c r="O4" s="4">
        <v>70.391552511415526</v>
      </c>
      <c r="P4" s="4">
        <v>67.808789954337897</v>
      </c>
      <c r="Q4" s="4">
        <v>27.977245683479442</v>
      </c>
      <c r="R4" s="4">
        <v>47.449581430745816</v>
      </c>
      <c r="S4" s="4">
        <v>2.5827625570776256</v>
      </c>
      <c r="T4" s="4">
        <v>249395</v>
      </c>
      <c r="U4" s="4">
        <v>60</v>
      </c>
    </row>
    <row r="5" spans="1:21" x14ac:dyDescent="0.25">
      <c r="A5" s="4"/>
      <c r="B5" s="4" t="s">
        <v>37</v>
      </c>
      <c r="C5" s="4">
        <f t="shared" si="1"/>
        <v>2820.5</v>
      </c>
      <c r="D5" s="4">
        <f t="shared" si="0"/>
        <v>2589.1999999999998</v>
      </c>
      <c r="E5" s="4">
        <v>231.3</v>
      </c>
      <c r="F5" s="4">
        <v>2092.3000000000002</v>
      </c>
      <c r="G5" s="4">
        <v>744</v>
      </c>
      <c r="H5" s="4">
        <f t="shared" si="2"/>
        <v>1348.3000000000002</v>
      </c>
      <c r="I5" s="215">
        <v>23.884703196347033</v>
      </c>
      <c r="J5" s="4">
        <v>4535.8</v>
      </c>
      <c r="K5" s="217">
        <v>51.778538812785392</v>
      </c>
      <c r="L5" s="4">
        <v>55.400000000000006</v>
      </c>
      <c r="M5" s="69">
        <v>6.3242009132420101E-3</v>
      </c>
      <c r="N5" s="216">
        <v>0</v>
      </c>
      <c r="O5" s="4">
        <v>23.704337899543379</v>
      </c>
      <c r="P5" s="4">
        <v>23.704337899543379</v>
      </c>
      <c r="Q5" s="4">
        <v>53.137777777777785</v>
      </c>
      <c r="R5" s="4">
        <v>10.9769549086758</v>
      </c>
      <c r="S5" s="4">
        <v>0</v>
      </c>
      <c r="T5" s="4">
        <v>153853</v>
      </c>
      <c r="U5" s="4">
        <v>160</v>
      </c>
    </row>
    <row r="6" spans="1:21" x14ac:dyDescent="0.25">
      <c r="A6" s="4"/>
      <c r="B6" s="4" t="s">
        <v>38</v>
      </c>
      <c r="C6" s="4">
        <f t="shared" si="1"/>
        <v>8760</v>
      </c>
      <c r="D6" s="4">
        <f t="shared" si="0"/>
        <v>8760</v>
      </c>
      <c r="E6" s="4">
        <v>0</v>
      </c>
      <c r="F6" s="4">
        <v>8760</v>
      </c>
      <c r="G6" s="4">
        <v>8760</v>
      </c>
      <c r="H6" s="4">
        <f t="shared" si="2"/>
        <v>0</v>
      </c>
      <c r="I6" s="215">
        <v>33.698630136986303</v>
      </c>
      <c r="J6" s="4">
        <v>0</v>
      </c>
      <c r="K6" s="217">
        <v>66.301369863013704</v>
      </c>
      <c r="L6" s="4">
        <v>0</v>
      </c>
      <c r="M6" s="69">
        <v>0</v>
      </c>
      <c r="N6" s="216">
        <v>0</v>
      </c>
      <c r="O6" s="4">
        <v>0</v>
      </c>
      <c r="P6" s="4">
        <v>0</v>
      </c>
      <c r="Q6" s="4">
        <v>100</v>
      </c>
      <c r="R6" s="4">
        <v>0</v>
      </c>
      <c r="S6" s="4">
        <v>0</v>
      </c>
      <c r="T6" s="4">
        <v>0</v>
      </c>
      <c r="U6" s="4">
        <v>60</v>
      </c>
    </row>
    <row r="7" spans="1:21" x14ac:dyDescent="0.25">
      <c r="A7" s="4"/>
      <c r="B7" s="77">
        <v>7</v>
      </c>
      <c r="C7" s="4">
        <f t="shared" si="1"/>
        <v>1878.7000000000007</v>
      </c>
      <c r="D7" s="4">
        <f t="shared" si="0"/>
        <v>1878.7000000000007</v>
      </c>
      <c r="E7" s="4">
        <v>0</v>
      </c>
      <c r="F7" s="4">
        <v>1447.6999999999998</v>
      </c>
      <c r="G7" s="4">
        <v>14.4</v>
      </c>
      <c r="H7" s="4">
        <f t="shared" si="2"/>
        <v>1433.2999999999997</v>
      </c>
      <c r="I7" s="215">
        <v>16.526255707762555</v>
      </c>
      <c r="J7" s="4">
        <v>5088</v>
      </c>
      <c r="K7" s="217">
        <v>58.082191780821915</v>
      </c>
      <c r="L7" s="4">
        <v>360</v>
      </c>
      <c r="M7" s="69">
        <v>4.1095890410958902E-2</v>
      </c>
      <c r="N7" s="216">
        <v>67.077244258872653</v>
      </c>
      <c r="O7" s="4">
        <v>21.281963470319635</v>
      </c>
      <c r="P7" s="4">
        <v>20.482876712328764</v>
      </c>
      <c r="Q7" s="4">
        <v>45.824275362318836</v>
      </c>
      <c r="R7" s="4">
        <v>15.964954337899542</v>
      </c>
      <c r="S7" s="4">
        <v>0.79908675799086759</v>
      </c>
      <c r="T7" s="4">
        <v>139853</v>
      </c>
      <c r="U7" s="4">
        <v>100</v>
      </c>
    </row>
    <row r="8" spans="1:21" x14ac:dyDescent="0.25">
      <c r="A8" s="4"/>
      <c r="B8" s="77">
        <v>9</v>
      </c>
      <c r="C8" s="4">
        <f t="shared" si="1"/>
        <v>6904.2</v>
      </c>
      <c r="D8" s="4">
        <f t="shared" si="0"/>
        <v>6856.5</v>
      </c>
      <c r="E8" s="4">
        <v>47.7</v>
      </c>
      <c r="F8" s="4">
        <v>415.09999999999991</v>
      </c>
      <c r="G8" s="4">
        <v>33.6</v>
      </c>
      <c r="H8" s="4">
        <f t="shared" si="2"/>
        <v>381.49999999999989</v>
      </c>
      <c r="I8" s="215">
        <v>4.7385844748858439</v>
      </c>
      <c r="J8" s="4">
        <v>71.599999999999994</v>
      </c>
      <c r="K8" s="217">
        <v>0.81735159817351599</v>
      </c>
      <c r="L8" s="4">
        <v>1402.7</v>
      </c>
      <c r="M8" s="69">
        <v>0.16012557077625572</v>
      </c>
      <c r="N8" s="216">
        <v>167.69311064718164</v>
      </c>
      <c r="O8" s="4">
        <v>78.43150684931507</v>
      </c>
      <c r="P8" s="4">
        <v>76.433789954337911</v>
      </c>
      <c r="Q8" s="4">
        <v>8.1528046421663429</v>
      </c>
      <c r="R8" s="4">
        <v>51.158219178082184</v>
      </c>
      <c r="S8" s="4">
        <v>1.9977168949771689</v>
      </c>
      <c r="T8" s="4">
        <v>448146</v>
      </c>
      <c r="U8" s="4">
        <v>100</v>
      </c>
    </row>
    <row r="9" spans="1:21" x14ac:dyDescent="0.25">
      <c r="A9" s="4"/>
      <c r="B9" s="218" t="s">
        <v>39</v>
      </c>
      <c r="C9" s="219">
        <f>SUM(C3:C8)</f>
        <v>36446.300000000003</v>
      </c>
      <c r="D9" s="219">
        <f>SUM(D3:D8)</f>
        <v>36155.300000000003</v>
      </c>
      <c r="E9" s="219">
        <f>SUM(E3:E8)</f>
        <v>291</v>
      </c>
      <c r="F9" s="220">
        <v>9204</v>
      </c>
      <c r="G9" s="220">
        <f>SUM(G3:G8)</f>
        <v>11162.9</v>
      </c>
      <c r="H9" s="221">
        <f>SUM(H3:H8)</f>
        <v>3849.0999999999995</v>
      </c>
      <c r="I9" s="221">
        <v>15.30183361872146</v>
      </c>
      <c r="J9" s="220">
        <v>15831.6</v>
      </c>
      <c r="K9" s="220">
        <v>28.714683219178085</v>
      </c>
      <c r="L9" s="220">
        <v>2241</v>
      </c>
      <c r="M9" s="220">
        <v>4.174479166666667</v>
      </c>
      <c r="N9" s="219">
        <v>624.36397912317329</v>
      </c>
      <c r="O9" s="220">
        <v>51.809003995433784</v>
      </c>
      <c r="P9" s="220">
        <v>50.616342037671231</v>
      </c>
      <c r="Q9" s="220">
        <v>34.88667745540981</v>
      </c>
      <c r="R9" s="220">
        <v>35.641766552511413</v>
      </c>
      <c r="S9" s="220">
        <v>1.192661957762557</v>
      </c>
      <c r="T9" s="220">
        <v>1998220</v>
      </c>
      <c r="U9" s="220">
        <v>640</v>
      </c>
    </row>
    <row r="10" spans="1:21" x14ac:dyDescent="0.25">
      <c r="A10" s="4" t="s">
        <v>40</v>
      </c>
      <c r="B10" s="77">
        <v>3</v>
      </c>
      <c r="C10" s="216">
        <f>$C$1-(H10+J10+L10)</f>
        <v>7606.83</v>
      </c>
      <c r="D10" s="216">
        <f>$C$1-(E10+H10+J10+L10)</f>
        <v>7606.83</v>
      </c>
      <c r="E10" s="4">
        <v>0</v>
      </c>
      <c r="F10" s="4">
        <v>633.18000000000006</v>
      </c>
      <c r="G10" s="4">
        <v>122.51</v>
      </c>
      <c r="H10" s="4">
        <f>F10-G10</f>
        <v>510.67000000000007</v>
      </c>
      <c r="I10" s="215">
        <v>7.2280821917808229</v>
      </c>
      <c r="J10" s="4">
        <v>0</v>
      </c>
      <c r="K10" s="4">
        <v>0</v>
      </c>
      <c r="L10" s="4">
        <v>642.5</v>
      </c>
      <c r="M10" s="4">
        <v>7.3344748858447497</v>
      </c>
      <c r="N10" s="216">
        <v>685.63154906054285</v>
      </c>
      <c r="O10" s="4">
        <v>85.43744292237443</v>
      </c>
      <c r="P10" s="4">
        <v>76.982191780821907</v>
      </c>
      <c r="Q10" s="4">
        <v>16.92466892516169</v>
      </c>
      <c r="R10" s="4">
        <v>53.719241501775748</v>
      </c>
      <c r="S10" s="4">
        <v>8.4552511415525125</v>
      </c>
      <c r="T10" s="4">
        <v>1016454</v>
      </c>
      <c r="U10" s="4">
        <v>216</v>
      </c>
    </row>
    <row r="11" spans="1:21" x14ac:dyDescent="0.25">
      <c r="A11" s="4" t="s">
        <v>41</v>
      </c>
      <c r="B11" s="77">
        <v>4</v>
      </c>
      <c r="C11" s="216">
        <f>$C$1-(H11+J11+L11)</f>
        <v>0</v>
      </c>
      <c r="D11" s="216">
        <f>$C$1-(E11+H11+J11+L11)</f>
        <v>0</v>
      </c>
      <c r="E11" s="4">
        <v>0</v>
      </c>
      <c r="F11" s="4">
        <v>8760</v>
      </c>
      <c r="G11" s="4"/>
      <c r="H11" s="4">
        <f t="shared" ref="H11" si="3">F11-G11</f>
        <v>8760</v>
      </c>
      <c r="I11" s="215">
        <v>100</v>
      </c>
      <c r="J11" s="4">
        <v>0</v>
      </c>
      <c r="K11" s="4">
        <v>0</v>
      </c>
      <c r="L11" s="4">
        <v>0</v>
      </c>
      <c r="M11" s="4">
        <v>0</v>
      </c>
      <c r="N11" s="216">
        <v>0</v>
      </c>
      <c r="O11" s="4">
        <v>0</v>
      </c>
      <c r="P11" s="4">
        <v>0</v>
      </c>
      <c r="Q11" s="4">
        <v>100</v>
      </c>
      <c r="R11" s="4">
        <v>0</v>
      </c>
      <c r="S11" s="4">
        <v>0</v>
      </c>
      <c r="T11" s="4">
        <v>0</v>
      </c>
      <c r="U11" s="4">
        <v>216</v>
      </c>
    </row>
    <row r="12" spans="1:21" x14ac:dyDescent="0.25">
      <c r="A12" s="4"/>
      <c r="B12" s="218" t="s">
        <v>39</v>
      </c>
      <c r="C12" s="219">
        <f>SUM(C10:C11)</f>
        <v>7606.83</v>
      </c>
      <c r="D12" s="219">
        <f>SUM(D10:D11)</f>
        <v>7606.83</v>
      </c>
      <c r="E12" s="220">
        <v>0</v>
      </c>
      <c r="F12" s="220">
        <v>9393.18</v>
      </c>
      <c r="G12" s="220">
        <f>SUM(G10:G11)</f>
        <v>122.51</v>
      </c>
      <c r="H12" s="220">
        <f>SUM(H10:H11)</f>
        <v>9270.67</v>
      </c>
      <c r="I12" s="221">
        <v>53.614041095890407</v>
      </c>
      <c r="J12" s="220">
        <v>0</v>
      </c>
      <c r="K12" s="220">
        <v>0</v>
      </c>
      <c r="L12" s="220">
        <v>642.5</v>
      </c>
      <c r="M12" s="220">
        <v>3.6672374429223749</v>
      </c>
      <c r="N12" s="219">
        <v>685.63154906054285</v>
      </c>
      <c r="O12" s="220">
        <v>42.718721461187215</v>
      </c>
      <c r="P12" s="220">
        <v>38.491095890410953</v>
      </c>
      <c r="Q12" s="220">
        <v>58.462334462580841</v>
      </c>
      <c r="R12" s="220">
        <v>26.859620750887874</v>
      </c>
      <c r="S12" s="220">
        <v>4.2276255707762562</v>
      </c>
      <c r="T12" s="220">
        <v>1016454</v>
      </c>
      <c r="U12" s="220">
        <v>432</v>
      </c>
    </row>
    <row r="13" spans="1:21" x14ac:dyDescent="0.25">
      <c r="A13" s="4" t="s">
        <v>42</v>
      </c>
      <c r="B13" s="77">
        <v>5</v>
      </c>
      <c r="C13" s="216">
        <f>$C$1-(H13+J13+L13)</f>
        <v>6703.51</v>
      </c>
      <c r="D13" s="216">
        <f>$C$1-(E13+H13+J13+L13)</f>
        <v>6703.51</v>
      </c>
      <c r="E13" s="4">
        <v>0</v>
      </c>
      <c r="F13" s="4">
        <v>606.5</v>
      </c>
      <c r="G13" s="4">
        <v>66.44</v>
      </c>
      <c r="H13" s="4">
        <f>F13-G13</f>
        <v>540.05999999999995</v>
      </c>
      <c r="I13" s="215">
        <v>6.923515981735159</v>
      </c>
      <c r="J13" s="4">
        <v>1516.43</v>
      </c>
      <c r="K13" s="4">
        <v>17.310844748858447</v>
      </c>
      <c r="L13" s="4">
        <v>0</v>
      </c>
      <c r="M13" s="4">
        <v>0</v>
      </c>
      <c r="N13" s="216">
        <v>1951.0922338204593</v>
      </c>
      <c r="O13" s="4">
        <v>75.765639269406421</v>
      </c>
      <c r="P13" s="4">
        <v>49.680936073059371</v>
      </c>
      <c r="Q13" s="4">
        <v>39.918438007777922</v>
      </c>
      <c r="R13" s="4">
        <v>37.83299922040316</v>
      </c>
      <c r="S13" s="4">
        <v>26.084703196347032</v>
      </c>
      <c r="T13" s="4">
        <v>1358810</v>
      </c>
      <c r="U13" s="4">
        <v>410</v>
      </c>
    </row>
    <row r="14" spans="1:21" x14ac:dyDescent="0.25">
      <c r="A14" s="4" t="s">
        <v>43</v>
      </c>
      <c r="B14" s="77">
        <v>6</v>
      </c>
      <c r="C14" s="216">
        <f>$C$1-(H14+J14+L14)</f>
        <v>8571.4599999999991</v>
      </c>
      <c r="D14" s="216">
        <f>$C$1-(E14+H14+J14+L14)</f>
        <v>8571.4599999999991</v>
      </c>
      <c r="E14" s="4">
        <v>0</v>
      </c>
      <c r="F14" s="4">
        <v>258.91999999999996</v>
      </c>
      <c r="G14" s="4">
        <v>70.38</v>
      </c>
      <c r="H14" s="4">
        <f t="shared" ref="H14" si="4">F14-G14</f>
        <v>188.53999999999996</v>
      </c>
      <c r="I14" s="215">
        <v>2.9557077625570773</v>
      </c>
      <c r="J14" s="4">
        <v>0</v>
      </c>
      <c r="K14" s="4">
        <v>0</v>
      </c>
      <c r="L14" s="4">
        <v>0</v>
      </c>
      <c r="M14" s="4">
        <v>0</v>
      </c>
      <c r="N14" s="216">
        <v>1461.4791022964509</v>
      </c>
      <c r="O14" s="4">
        <v>97.044292237442917</v>
      </c>
      <c r="P14" s="4">
        <v>77.505365296803646</v>
      </c>
      <c r="Q14" s="4">
        <v>22.494634703196351</v>
      </c>
      <c r="R14" s="4">
        <v>59.338177970820801</v>
      </c>
      <c r="S14" s="4">
        <v>19.538926940639271</v>
      </c>
      <c r="T14" s="4">
        <v>2131190</v>
      </c>
      <c r="U14" s="4">
        <v>410</v>
      </c>
    </row>
    <row r="15" spans="1:21" x14ac:dyDescent="0.25">
      <c r="A15" s="4"/>
      <c r="B15" s="218" t="s">
        <v>39</v>
      </c>
      <c r="C15" s="219">
        <f>SUM(C13:C14)</f>
        <v>15274.97</v>
      </c>
      <c r="D15" s="219">
        <f>SUM(D13:D14)</f>
        <v>15274.97</v>
      </c>
      <c r="E15" s="220">
        <v>0</v>
      </c>
      <c r="F15" s="220">
        <v>865.42</v>
      </c>
      <c r="G15" s="220">
        <f>SUM(G13:G14)</f>
        <v>136.82</v>
      </c>
      <c r="H15" s="221">
        <f>SUM(H13:H14)</f>
        <v>728.59999999999991</v>
      </c>
      <c r="I15" s="221">
        <v>4.9396118721461182</v>
      </c>
      <c r="J15" s="220">
        <v>1516.43</v>
      </c>
      <c r="K15" s="220">
        <v>8.6554223744292234</v>
      </c>
      <c r="L15" s="220">
        <v>0</v>
      </c>
      <c r="M15" s="220">
        <v>0</v>
      </c>
      <c r="N15" s="219">
        <v>3412.5713361169101</v>
      </c>
      <c r="O15" s="220">
        <v>86.404965753424676</v>
      </c>
      <c r="P15" s="220">
        <v>63.593150684931508</v>
      </c>
      <c r="Q15" s="220">
        <v>31.206536355487138</v>
      </c>
      <c r="R15" s="220">
        <v>48.585588595611981</v>
      </c>
      <c r="S15" s="220">
        <v>22.811815068493154</v>
      </c>
      <c r="T15" s="220">
        <v>3490000</v>
      </c>
      <c r="U15" s="220">
        <v>820</v>
      </c>
    </row>
    <row r="16" spans="1:21" x14ac:dyDescent="0.25">
      <c r="A16" s="4" t="s">
        <v>44</v>
      </c>
      <c r="B16" s="77">
        <v>1</v>
      </c>
      <c r="C16" s="216">
        <f>$C$1-(H16+J16+L16)</f>
        <v>3481.4299999999994</v>
      </c>
      <c r="D16" s="216">
        <f>$C$1-(E16+H16+J16+L16)</f>
        <v>3481.4299999999994</v>
      </c>
      <c r="E16" s="4">
        <v>0</v>
      </c>
      <c r="F16" s="4">
        <v>4444.6000000000004</v>
      </c>
      <c r="G16" s="4">
        <v>0</v>
      </c>
      <c r="H16" s="4">
        <f>F16-G16</f>
        <v>4444.6000000000004</v>
      </c>
      <c r="I16" s="215">
        <v>50.737442922374434</v>
      </c>
      <c r="J16" s="4">
        <v>833.97</v>
      </c>
      <c r="K16" s="4">
        <v>9.5202054794520556</v>
      </c>
      <c r="L16" s="4">
        <v>0</v>
      </c>
      <c r="M16" s="4">
        <v>0</v>
      </c>
      <c r="N16" s="216">
        <v>930.43657620041756</v>
      </c>
      <c r="O16" s="4">
        <v>39.742351598173521</v>
      </c>
      <c r="P16" s="4">
        <v>27.30308219178082</v>
      </c>
      <c r="Q16" s="4">
        <v>69.82411118807272</v>
      </c>
      <c r="R16" s="4">
        <v>18.69127346524607</v>
      </c>
      <c r="S16" s="4">
        <v>12.439269406392695</v>
      </c>
      <c r="T16" s="4">
        <v>736810</v>
      </c>
      <c r="U16" s="4">
        <v>450</v>
      </c>
    </row>
    <row r="17" spans="1:21" x14ac:dyDescent="0.25">
      <c r="A17" s="4"/>
      <c r="B17" s="77">
        <v>2</v>
      </c>
      <c r="C17" s="216">
        <f>$C$1-(H17+J17+L17)</f>
        <v>1038.5499999999993</v>
      </c>
      <c r="D17" s="216">
        <f>$C$1-(E17+H17+J17+L17)</f>
        <v>1038.5499999999993</v>
      </c>
      <c r="E17" s="4">
        <v>0</v>
      </c>
      <c r="F17" s="4">
        <v>4776.2000000000007</v>
      </c>
      <c r="G17" s="4">
        <v>0</v>
      </c>
      <c r="H17" s="4">
        <f t="shared" ref="H17" si="5">F17-G17</f>
        <v>4776.2000000000007</v>
      </c>
      <c r="I17" s="215">
        <v>54.522831050228312</v>
      </c>
      <c r="J17" s="4">
        <v>2945.25</v>
      </c>
      <c r="K17" s="4">
        <v>33.621575342465754</v>
      </c>
      <c r="L17" s="4">
        <v>0</v>
      </c>
      <c r="M17" s="4">
        <v>0</v>
      </c>
      <c r="N17" s="216">
        <v>224.28398747390395</v>
      </c>
      <c r="O17" s="4">
        <v>11.855593607305934</v>
      </c>
      <c r="P17" s="4">
        <v>8.8570776255707759</v>
      </c>
      <c r="Q17" s="4">
        <v>86.656692033191447</v>
      </c>
      <c r="R17" s="4">
        <v>4.7330035514967017</v>
      </c>
      <c r="S17" s="4">
        <v>2.9985159817351592</v>
      </c>
      <c r="T17" s="4">
        <v>186575</v>
      </c>
      <c r="U17" s="4">
        <v>450</v>
      </c>
    </row>
    <row r="18" spans="1:21" x14ac:dyDescent="0.25">
      <c r="A18" s="4"/>
      <c r="B18" s="220" t="s">
        <v>39</v>
      </c>
      <c r="C18" s="219">
        <f>SUM(C16:C17)</f>
        <v>4519.9799999999987</v>
      </c>
      <c r="D18" s="219">
        <f>SUM(D16:D17)</f>
        <v>4519.9799999999987</v>
      </c>
      <c r="E18" s="220">
        <v>0</v>
      </c>
      <c r="F18" s="220">
        <v>9220.8000000000011</v>
      </c>
      <c r="G18" s="220">
        <f>SUM(G16:G17)</f>
        <v>0</v>
      </c>
      <c r="H18" s="221">
        <f>SUM(H16:H17)</f>
        <v>9220.8000000000011</v>
      </c>
      <c r="I18" s="221">
        <v>52.630136986301366</v>
      </c>
      <c r="J18" s="220">
        <v>3779.2200000000003</v>
      </c>
      <c r="K18" s="220">
        <v>21.570890410958906</v>
      </c>
      <c r="L18" s="220">
        <v>0</v>
      </c>
      <c r="M18" s="220">
        <v>0</v>
      </c>
      <c r="N18" s="219">
        <v>1154.7205636743215</v>
      </c>
      <c r="O18" s="220">
        <v>25.798972602739727</v>
      </c>
      <c r="P18" s="220">
        <v>18.080079908675799</v>
      </c>
      <c r="Q18" s="220">
        <v>78.240401610632091</v>
      </c>
      <c r="R18" s="220">
        <v>11.712138508371387</v>
      </c>
      <c r="S18" s="220">
        <v>7.7188926940639266</v>
      </c>
      <c r="T18" s="220">
        <v>923385</v>
      </c>
      <c r="U18" s="220">
        <v>900</v>
      </c>
    </row>
    <row r="19" spans="1:21" ht="45" x14ac:dyDescent="0.25">
      <c r="A19" s="169"/>
      <c r="B19" s="170" t="s">
        <v>85</v>
      </c>
      <c r="C19" s="171">
        <f>SUM(C18,C15,C12,C9)</f>
        <v>63848.08</v>
      </c>
      <c r="D19" s="171">
        <f>SUM(D18,D15,D12,D9)</f>
        <v>63557.08</v>
      </c>
      <c r="E19" s="171">
        <f>SUM(E18,E15,E12,E9)</f>
        <v>291</v>
      </c>
      <c r="F19" s="172"/>
      <c r="G19" s="172"/>
      <c r="H19" s="171">
        <f>SUM(H18,H15,H12,H9)</f>
        <v>23069.17</v>
      </c>
      <c r="I19" s="172"/>
      <c r="J19" s="172"/>
      <c r="K19" s="172"/>
      <c r="L19" s="172"/>
      <c r="M19" s="172"/>
      <c r="N19" s="171">
        <f>SUM(N18,N15,N12,N9)</f>
        <v>5877.2874279749476</v>
      </c>
      <c r="O19" s="169"/>
      <c r="P19" s="169"/>
      <c r="Q19" s="169"/>
      <c r="R19" s="169"/>
      <c r="S19" s="169"/>
      <c r="T19" s="169"/>
      <c r="U19" s="169"/>
    </row>
    <row r="20" spans="1:21" x14ac:dyDescent="0.25">
      <c r="A20" s="222" t="s">
        <v>45</v>
      </c>
      <c r="B20" s="222" t="s">
        <v>46</v>
      </c>
      <c r="C20" s="222">
        <f>$C$1-(H20+J20+L20)</f>
        <v>3271.5999999999995</v>
      </c>
      <c r="D20" s="222">
        <f>$C$1-(E20+H20+J20+L20)</f>
        <v>2057.9999999999991</v>
      </c>
      <c r="E20" s="222">
        <v>1213.5999999999999</v>
      </c>
      <c r="F20" s="222">
        <v>5478.6</v>
      </c>
      <c r="G20" s="222">
        <v>0</v>
      </c>
      <c r="H20" s="222">
        <f>F20-G20</f>
        <v>5478.6</v>
      </c>
      <c r="I20" s="222">
        <v>62.541095890410958</v>
      </c>
      <c r="J20" s="222">
        <v>0</v>
      </c>
      <c r="K20" s="222">
        <v>0</v>
      </c>
      <c r="L20" s="222">
        <v>9.8000000000000007</v>
      </c>
      <c r="M20" s="222">
        <v>0.11187214611872148</v>
      </c>
      <c r="N20" s="222">
        <v>0</v>
      </c>
      <c r="O20" s="222">
        <v>37.347031963470315</v>
      </c>
      <c r="P20" s="222">
        <v>37.347031963470315</v>
      </c>
      <c r="Q20" s="222">
        <v>72.693256906297265</v>
      </c>
      <c r="R20" s="222">
        <v>6.3913860350076108</v>
      </c>
      <c r="S20" s="222">
        <v>0</v>
      </c>
      <c r="T20" s="222">
        <v>53749</v>
      </c>
      <c r="U20" s="222">
        <v>96</v>
      </c>
    </row>
    <row r="21" spans="1:21" x14ac:dyDescent="0.25">
      <c r="A21" s="4"/>
      <c r="B21" s="4" t="s">
        <v>47</v>
      </c>
      <c r="C21" s="4">
        <f t="shared" ref="C21:C29" si="6">$C$1-(H21+J21+L21)</f>
        <v>8128</v>
      </c>
      <c r="D21" s="4">
        <f t="shared" ref="D21:D29" si="7">$C$1-(E21+H21+J21+L21)</f>
        <v>4382.3999999999996</v>
      </c>
      <c r="E21" s="4">
        <v>3745.6</v>
      </c>
      <c r="F21" s="4">
        <v>404.79999999999995</v>
      </c>
      <c r="G21" s="4">
        <v>22.4</v>
      </c>
      <c r="H21" s="4">
        <f t="shared" ref="H21:H30" si="8">F21-G21</f>
        <v>382.4</v>
      </c>
      <c r="I21" s="4">
        <v>4.6210045662100452</v>
      </c>
      <c r="J21" s="4">
        <v>233</v>
      </c>
      <c r="K21" s="4">
        <v>2.6598173515981736</v>
      </c>
      <c r="L21" s="4">
        <v>16.600000000000001</v>
      </c>
      <c r="M21" s="4">
        <v>0.18949771689497719</v>
      </c>
      <c r="N21" s="4">
        <v>0</v>
      </c>
      <c r="O21" s="4">
        <v>92.529680365296812</v>
      </c>
      <c r="P21" s="4">
        <v>92.529680365296812</v>
      </c>
      <c r="Q21" s="4">
        <v>8.4956346541302885</v>
      </c>
      <c r="R21" s="4">
        <v>36.836757990867582</v>
      </c>
      <c r="S21" s="4">
        <v>0</v>
      </c>
      <c r="T21" s="4">
        <v>161345</v>
      </c>
      <c r="U21" s="4">
        <v>50</v>
      </c>
    </row>
    <row r="22" spans="1:21" x14ac:dyDescent="0.25">
      <c r="A22" s="4"/>
      <c r="B22" s="4" t="s">
        <v>48</v>
      </c>
      <c r="C22" s="4">
        <f t="shared" si="6"/>
        <v>8155.3</v>
      </c>
      <c r="D22" s="4">
        <f t="shared" si="7"/>
        <v>4897.3000000000011</v>
      </c>
      <c r="E22" s="4">
        <v>3257.9999999999991</v>
      </c>
      <c r="F22" s="4">
        <v>430.1</v>
      </c>
      <c r="G22" s="4">
        <v>23.3</v>
      </c>
      <c r="H22" s="4">
        <f t="shared" si="8"/>
        <v>406.8</v>
      </c>
      <c r="I22" s="4">
        <v>4.909817351598174</v>
      </c>
      <c r="J22" s="4">
        <v>179.89999999999998</v>
      </c>
      <c r="K22" s="4">
        <v>2.0536529680365292</v>
      </c>
      <c r="L22" s="4">
        <v>18</v>
      </c>
      <c r="M22" s="4">
        <v>0.20547945205479451</v>
      </c>
      <c r="N22" s="4">
        <v>0</v>
      </c>
      <c r="O22" s="4">
        <v>92.831050228310502</v>
      </c>
      <c r="P22" s="4">
        <v>92.831050228310502</v>
      </c>
      <c r="Q22" s="4">
        <v>8.1088214777247778</v>
      </c>
      <c r="R22" s="4">
        <v>40.301826484018264</v>
      </c>
      <c r="S22" s="4">
        <v>0</v>
      </c>
      <c r="T22" s="4">
        <v>176522</v>
      </c>
      <c r="U22" s="4">
        <v>50</v>
      </c>
    </row>
    <row r="23" spans="1:21" x14ac:dyDescent="0.25">
      <c r="A23" s="4"/>
      <c r="B23" s="4" t="s">
        <v>49</v>
      </c>
      <c r="C23" s="4">
        <f t="shared" si="6"/>
        <v>0</v>
      </c>
      <c r="D23" s="4">
        <f t="shared" si="7"/>
        <v>0</v>
      </c>
      <c r="E23" s="4">
        <v>0</v>
      </c>
      <c r="F23" s="4">
        <v>0</v>
      </c>
      <c r="G23" s="4">
        <v>0</v>
      </c>
      <c r="H23" s="4">
        <f t="shared" si="8"/>
        <v>0</v>
      </c>
      <c r="I23" s="4">
        <v>0</v>
      </c>
      <c r="J23" s="4">
        <v>8760</v>
      </c>
      <c r="K23" s="4">
        <v>100</v>
      </c>
      <c r="L23" s="4">
        <v>0</v>
      </c>
      <c r="M23" s="4">
        <v>0</v>
      </c>
      <c r="N23" s="4">
        <v>0</v>
      </c>
      <c r="O23" s="4">
        <v>0</v>
      </c>
      <c r="P23" s="4">
        <v>0</v>
      </c>
      <c r="Q23" s="4">
        <v>0</v>
      </c>
      <c r="R23" s="4">
        <v>0</v>
      </c>
      <c r="S23" s="4">
        <v>0</v>
      </c>
      <c r="T23" s="4">
        <v>0</v>
      </c>
      <c r="U23" s="4">
        <v>50</v>
      </c>
    </row>
    <row r="24" spans="1:21" x14ac:dyDescent="0.25">
      <c r="A24" s="4"/>
      <c r="B24" s="4" t="s">
        <v>50</v>
      </c>
      <c r="C24" s="4">
        <f t="shared" si="6"/>
        <v>8353.2999999999993</v>
      </c>
      <c r="D24" s="4">
        <f t="shared" si="7"/>
        <v>3724.8</v>
      </c>
      <c r="E24" s="4">
        <v>4628.5</v>
      </c>
      <c r="F24" s="4">
        <v>421</v>
      </c>
      <c r="G24" s="4">
        <v>22.8</v>
      </c>
      <c r="H24" s="4">
        <f t="shared" si="8"/>
        <v>398.2</v>
      </c>
      <c r="I24" s="4">
        <v>4.8059360730593612</v>
      </c>
      <c r="J24" s="4">
        <v>0</v>
      </c>
      <c r="K24" s="4">
        <v>0</v>
      </c>
      <c r="L24" s="4">
        <v>8.5</v>
      </c>
      <c r="M24" s="4">
        <v>9.7031963470319629E-2</v>
      </c>
      <c r="N24" s="4">
        <v>0</v>
      </c>
      <c r="O24" s="4">
        <v>95.097031963470329</v>
      </c>
      <c r="P24" s="4">
        <v>95.097031963470329</v>
      </c>
      <c r="Q24" s="4">
        <v>10.211011399466408</v>
      </c>
      <c r="R24" s="4">
        <v>20.248173515981733</v>
      </c>
      <c r="S24" s="4">
        <v>0</v>
      </c>
      <c r="T24" s="4">
        <v>88687</v>
      </c>
      <c r="U24" s="4">
        <v>50</v>
      </c>
    </row>
    <row r="25" spans="1:21" x14ac:dyDescent="0.25">
      <c r="A25" s="4"/>
      <c r="B25" s="4" t="s">
        <v>51</v>
      </c>
      <c r="C25" s="4">
        <f t="shared" si="6"/>
        <v>0</v>
      </c>
      <c r="D25" s="4">
        <f t="shared" si="7"/>
        <v>0</v>
      </c>
      <c r="E25" s="4">
        <v>0</v>
      </c>
      <c r="F25" s="4">
        <v>0</v>
      </c>
      <c r="G25" s="4">
        <v>0</v>
      </c>
      <c r="H25" s="4">
        <f t="shared" si="8"/>
        <v>0</v>
      </c>
      <c r="I25" s="4">
        <v>0</v>
      </c>
      <c r="J25" s="4">
        <v>8760</v>
      </c>
      <c r="K25" s="4">
        <v>100</v>
      </c>
      <c r="L25" s="4">
        <v>0</v>
      </c>
      <c r="M25" s="4">
        <v>0</v>
      </c>
      <c r="N25" s="4">
        <v>0</v>
      </c>
      <c r="O25" s="4">
        <v>0</v>
      </c>
      <c r="P25" s="4">
        <v>0</v>
      </c>
      <c r="Q25" s="4">
        <v>0</v>
      </c>
      <c r="R25" s="4">
        <v>0</v>
      </c>
      <c r="S25" s="4">
        <v>0</v>
      </c>
      <c r="T25" s="4">
        <v>0</v>
      </c>
      <c r="U25" s="4">
        <v>96</v>
      </c>
    </row>
    <row r="26" spans="1:21" x14ac:dyDescent="0.25">
      <c r="A26" s="4"/>
      <c r="B26" s="4" t="s">
        <v>52</v>
      </c>
      <c r="C26" s="4">
        <f t="shared" si="6"/>
        <v>4137</v>
      </c>
      <c r="D26" s="4">
        <f t="shared" si="7"/>
        <v>2231.6000000000004</v>
      </c>
      <c r="E26" s="4">
        <v>1905.4</v>
      </c>
      <c r="F26" s="4">
        <v>5477.4</v>
      </c>
      <c r="G26" s="4">
        <v>905</v>
      </c>
      <c r="H26" s="4">
        <f t="shared" si="8"/>
        <v>4572.3999999999996</v>
      </c>
      <c r="I26" s="4">
        <v>62.527397260273965</v>
      </c>
      <c r="J26" s="4">
        <v>0</v>
      </c>
      <c r="K26" s="4">
        <v>0</v>
      </c>
      <c r="L26" s="4">
        <v>50.6</v>
      </c>
      <c r="M26" s="4">
        <v>0.57762557077625565</v>
      </c>
      <c r="N26" s="4">
        <v>0</v>
      </c>
      <c r="O26" s="4">
        <v>36.894977168949772</v>
      </c>
      <c r="P26" s="4">
        <v>36.894977168949772</v>
      </c>
      <c r="Q26" s="4">
        <v>80.502645502645493</v>
      </c>
      <c r="R26" s="4">
        <v>5.9155251141552512</v>
      </c>
      <c r="S26" s="4">
        <v>0</v>
      </c>
      <c r="T26" s="4">
        <v>25910</v>
      </c>
      <c r="U26" s="4">
        <v>50</v>
      </c>
    </row>
    <row r="27" spans="1:21" x14ac:dyDescent="0.25">
      <c r="A27" s="4"/>
      <c r="B27" s="4" t="s">
        <v>53</v>
      </c>
      <c r="C27" s="4">
        <f t="shared" si="6"/>
        <v>4449.8999999999996</v>
      </c>
      <c r="D27" s="4">
        <f t="shared" si="7"/>
        <v>3762.5999999999995</v>
      </c>
      <c r="E27" s="4">
        <v>687.3</v>
      </c>
      <c r="F27" s="4">
        <v>3065.3</v>
      </c>
      <c r="G27" s="4">
        <v>3063.5</v>
      </c>
      <c r="H27" s="4">
        <f t="shared" si="8"/>
        <v>1.8000000000001819</v>
      </c>
      <c r="I27" s="4">
        <v>34.992009132420094</v>
      </c>
      <c r="J27" s="4">
        <v>4288.5</v>
      </c>
      <c r="K27" s="4">
        <v>48.955479452054796</v>
      </c>
      <c r="L27" s="4">
        <v>19.8</v>
      </c>
      <c r="M27" s="4">
        <v>0.22602739726027399</v>
      </c>
      <c r="N27" s="4">
        <v>0</v>
      </c>
      <c r="O27" s="4">
        <v>15.826484018264841</v>
      </c>
      <c r="P27" s="4">
        <v>15.826484018264841</v>
      </c>
      <c r="Q27" s="4">
        <v>81.428647327595357</v>
      </c>
      <c r="R27" s="4">
        <v>2.0929223744292234</v>
      </c>
      <c r="S27" s="4">
        <v>0</v>
      </c>
      <c r="T27" s="4">
        <v>9167</v>
      </c>
      <c r="U27" s="4">
        <v>50</v>
      </c>
    </row>
    <row r="28" spans="1:21" x14ac:dyDescent="0.25">
      <c r="A28" s="4"/>
      <c r="B28" s="4" t="s">
        <v>54</v>
      </c>
      <c r="C28" s="4">
        <f t="shared" si="6"/>
        <v>4</v>
      </c>
      <c r="D28" s="4">
        <f t="shared" si="7"/>
        <v>0</v>
      </c>
      <c r="E28" s="4">
        <v>4</v>
      </c>
      <c r="F28" s="4">
        <v>0</v>
      </c>
      <c r="G28" s="4">
        <v>0</v>
      </c>
      <c r="H28" s="4">
        <f t="shared" si="8"/>
        <v>0</v>
      </c>
      <c r="I28" s="4">
        <v>0</v>
      </c>
      <c r="J28" s="4">
        <v>8756</v>
      </c>
      <c r="K28" s="4">
        <v>99.954337899543376</v>
      </c>
      <c r="L28" s="4">
        <v>0</v>
      </c>
      <c r="M28" s="4">
        <v>0</v>
      </c>
      <c r="N28" s="4">
        <v>0</v>
      </c>
      <c r="O28" s="4">
        <v>4.5662100456621002E-2</v>
      </c>
      <c r="P28" s="4">
        <v>4.5662100456621002E-2</v>
      </c>
      <c r="Q28" s="4">
        <v>0</v>
      </c>
      <c r="R28" s="4">
        <v>0</v>
      </c>
      <c r="S28" s="4">
        <v>0</v>
      </c>
      <c r="T28" s="4">
        <v>0</v>
      </c>
      <c r="U28" s="4">
        <v>50</v>
      </c>
    </row>
    <row r="29" spans="1:21" x14ac:dyDescent="0.25">
      <c r="A29" s="4"/>
      <c r="B29" s="4" t="s">
        <v>55</v>
      </c>
      <c r="C29" s="4">
        <f t="shared" si="6"/>
        <v>8519.1</v>
      </c>
      <c r="D29" s="4">
        <f t="shared" si="7"/>
        <v>5321.7</v>
      </c>
      <c r="E29" s="4">
        <v>3197.4</v>
      </c>
      <c r="F29" s="4">
        <v>3141.1</v>
      </c>
      <c r="G29" s="4">
        <v>3088.6</v>
      </c>
      <c r="H29" s="4">
        <f t="shared" si="8"/>
        <v>52.5</v>
      </c>
      <c r="I29" s="4">
        <v>35.857305936073061</v>
      </c>
      <c r="J29" s="4">
        <v>105.6</v>
      </c>
      <c r="K29" s="4">
        <v>1.2054794520547945</v>
      </c>
      <c r="L29" s="4">
        <v>82.800000000000011</v>
      </c>
      <c r="M29" s="4">
        <v>0.94520547945205502</v>
      </c>
      <c r="N29" s="4">
        <v>0</v>
      </c>
      <c r="O29" s="4">
        <v>61.992009132420087</v>
      </c>
      <c r="P29" s="4">
        <v>61.992009132420087</v>
      </c>
      <c r="Q29" s="4">
        <v>58.447768970265344</v>
      </c>
      <c r="R29" s="4">
        <v>18.065753424657537</v>
      </c>
      <c r="S29" s="4">
        <v>0</v>
      </c>
      <c r="T29" s="4">
        <v>79128</v>
      </c>
      <c r="U29" s="4">
        <v>50</v>
      </c>
    </row>
    <row r="30" spans="1:21" x14ac:dyDescent="0.25">
      <c r="A30" s="4"/>
      <c r="B30" s="220" t="s">
        <v>39</v>
      </c>
      <c r="C30" s="220">
        <f>SUM(C20:C29)</f>
        <v>45018.2</v>
      </c>
      <c r="D30" s="220">
        <f>SUM(D20:D29)</f>
        <v>26378.399999999998</v>
      </c>
      <c r="E30" s="220">
        <f>SUM(E20:E29)</f>
        <v>18639.8</v>
      </c>
      <c r="F30" s="220">
        <f>SUM(F20:F29)</f>
        <v>18418.3</v>
      </c>
      <c r="G30" s="220">
        <f>SUM(G20:G29)</f>
        <v>7125.6</v>
      </c>
      <c r="H30" s="220">
        <f t="shared" si="8"/>
        <v>11292.699999999999</v>
      </c>
      <c r="I30" s="220">
        <v>22.617599191657412</v>
      </c>
      <c r="J30" s="220">
        <v>31083</v>
      </c>
      <c r="K30" s="220">
        <v>37.738916142169572</v>
      </c>
      <c r="L30" s="220">
        <v>206.10000000000002</v>
      </c>
      <c r="M30" s="220">
        <v>0.20740389361964709</v>
      </c>
      <c r="N30" s="220">
        <v>0</v>
      </c>
      <c r="O30" s="220">
        <v>39.436080772553368</v>
      </c>
      <c r="P30" s="220">
        <v>39.436080772553368</v>
      </c>
      <c r="Q30" s="220">
        <v>32.66601204323635</v>
      </c>
      <c r="R30" s="220">
        <v>11.463886832037515</v>
      </c>
      <c r="S30" s="220">
        <v>0</v>
      </c>
      <c r="T30" s="220">
        <v>594508</v>
      </c>
      <c r="U30" s="220">
        <v>592</v>
      </c>
    </row>
    <row r="31" spans="1:21" x14ac:dyDescent="0.25">
      <c r="A31" s="4" t="s">
        <v>40</v>
      </c>
      <c r="B31" s="4" t="s">
        <v>47</v>
      </c>
      <c r="C31" s="4">
        <f>$C$1-(F31+J31+L31)</f>
        <v>7166</v>
      </c>
      <c r="D31" s="4">
        <f>$C$1-(E31+F31+J31+L31)</f>
        <v>1670.6000000000004</v>
      </c>
      <c r="E31" s="4">
        <v>5495.4</v>
      </c>
      <c r="F31" s="4">
        <v>1594</v>
      </c>
      <c r="G31" s="4"/>
      <c r="H31" s="216"/>
      <c r="I31" s="4">
        <v>18.196347031963469</v>
      </c>
      <c r="J31" s="4">
        <v>0</v>
      </c>
      <c r="K31" s="4">
        <v>0</v>
      </c>
      <c r="L31" s="4">
        <v>0</v>
      </c>
      <c r="M31" s="4">
        <v>0</v>
      </c>
      <c r="N31" s="4">
        <v>0</v>
      </c>
      <c r="O31" s="4">
        <v>81.803652968036531</v>
      </c>
      <c r="P31" s="4">
        <v>81.803652968036531</v>
      </c>
      <c r="Q31" s="4">
        <v>48.826808797402435</v>
      </c>
      <c r="R31" s="4">
        <v>15.600674059578168</v>
      </c>
      <c r="S31" s="4">
        <v>0</v>
      </c>
      <c r="T31" s="4">
        <v>28699</v>
      </c>
      <c r="U31" s="4">
        <v>21</v>
      </c>
    </row>
    <row r="32" spans="1:21" x14ac:dyDescent="0.25">
      <c r="A32" s="4" t="s">
        <v>41</v>
      </c>
      <c r="B32" s="4" t="s">
        <v>48</v>
      </c>
      <c r="C32" s="4">
        <f t="shared" ref="C32:C33" si="9">$C$1-(F32+J32+L32)</f>
        <v>8708</v>
      </c>
      <c r="D32" s="4">
        <f t="shared" ref="D32:D36" si="10">$C$1-(E32+F32+J32+L32)</f>
        <v>2243.9000000000015</v>
      </c>
      <c r="E32" s="4">
        <v>6464.0999999999985</v>
      </c>
      <c r="F32" s="4">
        <v>52</v>
      </c>
      <c r="G32" s="4"/>
      <c r="H32" s="216"/>
      <c r="I32" s="4">
        <v>0.59360730593607303</v>
      </c>
      <c r="J32" s="4">
        <v>0</v>
      </c>
      <c r="K32" s="4">
        <v>0</v>
      </c>
      <c r="L32" s="4">
        <v>0</v>
      </c>
      <c r="M32" s="4">
        <v>0</v>
      </c>
      <c r="N32" s="4">
        <v>0</v>
      </c>
      <c r="O32" s="4">
        <v>99.406392694063925</v>
      </c>
      <c r="P32" s="4">
        <v>99.406392694063925</v>
      </c>
      <c r="Q32" s="4">
        <v>2.2649070081449545</v>
      </c>
      <c r="R32" s="4">
        <v>20.578386605783866</v>
      </c>
      <c r="S32" s="4">
        <v>0</v>
      </c>
      <c r="T32" s="4">
        <v>37856</v>
      </c>
      <c r="U32" s="4">
        <v>21</v>
      </c>
    </row>
    <row r="33" spans="1:21" x14ac:dyDescent="0.25">
      <c r="A33" s="4"/>
      <c r="B33" s="4" t="s">
        <v>52</v>
      </c>
      <c r="C33" s="4">
        <f t="shared" si="9"/>
        <v>4881.7</v>
      </c>
      <c r="D33" s="4">
        <f t="shared" si="10"/>
        <v>1136.7000000000007</v>
      </c>
      <c r="E33" s="4">
        <v>3744.9999999999995</v>
      </c>
      <c r="F33" s="4">
        <v>3878.3</v>
      </c>
      <c r="G33" s="4"/>
      <c r="H33" s="216"/>
      <c r="I33" s="4">
        <v>44.272831050228312</v>
      </c>
      <c r="J33" s="4">
        <v>0</v>
      </c>
      <c r="K33" s="4">
        <v>0</v>
      </c>
      <c r="L33" s="4">
        <v>0</v>
      </c>
      <c r="M33" s="4">
        <v>0</v>
      </c>
      <c r="N33" s="4">
        <v>0</v>
      </c>
      <c r="O33" s="4">
        <v>55.727168949771688</v>
      </c>
      <c r="P33" s="4">
        <v>55.727168949771688</v>
      </c>
      <c r="Q33" s="4">
        <v>77.333998005982053</v>
      </c>
      <c r="R33" s="4">
        <v>10.235920852359207</v>
      </c>
      <c r="S33" s="4">
        <v>0</v>
      </c>
      <c r="T33" s="4">
        <v>18830</v>
      </c>
      <c r="U33" s="4">
        <v>21</v>
      </c>
    </row>
    <row r="34" spans="1:21" x14ac:dyDescent="0.25">
      <c r="A34" s="4"/>
      <c r="B34" s="220" t="s">
        <v>39</v>
      </c>
      <c r="C34" s="220">
        <f>SUM(C31:C33)</f>
        <v>20755.7</v>
      </c>
      <c r="D34" s="220">
        <f t="shared" ref="D34:F34" si="11">SUM(D31:D33)</f>
        <v>5051.2000000000025</v>
      </c>
      <c r="E34" s="220">
        <f t="shared" si="11"/>
        <v>15704.499999999998</v>
      </c>
      <c r="F34" s="220">
        <f t="shared" si="11"/>
        <v>5524.3</v>
      </c>
      <c r="G34" s="220"/>
      <c r="H34" s="219">
        <f>SUM(H31:H33)</f>
        <v>0</v>
      </c>
      <c r="I34" s="220">
        <v>21.020928462709282</v>
      </c>
      <c r="J34" s="220">
        <v>0</v>
      </c>
      <c r="K34" s="220">
        <v>0</v>
      </c>
      <c r="L34" s="220">
        <v>0</v>
      </c>
      <c r="M34" s="220">
        <v>0</v>
      </c>
      <c r="N34" s="220">
        <v>0</v>
      </c>
      <c r="O34" s="220">
        <v>78.979071537290721</v>
      </c>
      <c r="P34" s="220">
        <v>78.979071537290721</v>
      </c>
      <c r="Q34" s="220">
        <v>42.808571270509809</v>
      </c>
      <c r="R34" s="220">
        <v>15.47166050590708</v>
      </c>
      <c r="S34" s="220">
        <v>0</v>
      </c>
      <c r="T34" s="220">
        <v>85385</v>
      </c>
      <c r="U34" s="220">
        <v>63</v>
      </c>
    </row>
    <row r="35" spans="1:21" x14ac:dyDescent="0.25">
      <c r="A35" s="4" t="s">
        <v>42</v>
      </c>
      <c r="B35" s="4" t="s">
        <v>47</v>
      </c>
      <c r="C35" s="4">
        <f>$C$1-(F35+J35+L35)</f>
        <v>24</v>
      </c>
      <c r="D35" s="4">
        <f t="shared" si="10"/>
        <v>0</v>
      </c>
      <c r="E35" s="4">
        <v>24</v>
      </c>
      <c r="F35" s="4">
        <v>8736</v>
      </c>
      <c r="G35" s="4"/>
      <c r="H35" s="4"/>
      <c r="I35" s="4">
        <v>99.726027397260282</v>
      </c>
      <c r="J35" s="4">
        <v>0</v>
      </c>
      <c r="K35" s="4">
        <v>0</v>
      </c>
      <c r="L35" s="4">
        <v>0</v>
      </c>
      <c r="M35" s="4">
        <v>0</v>
      </c>
      <c r="N35" s="4">
        <v>0</v>
      </c>
      <c r="O35" s="4">
        <v>0.27397260273972601</v>
      </c>
      <c r="P35" s="4">
        <v>0.27397260273972601</v>
      </c>
      <c r="Q35" s="4">
        <v>100</v>
      </c>
      <c r="R35" s="4">
        <v>0</v>
      </c>
      <c r="S35" s="4">
        <v>0</v>
      </c>
      <c r="T35" s="4">
        <v>0</v>
      </c>
      <c r="U35" s="4">
        <v>21</v>
      </c>
    </row>
    <row r="36" spans="1:21" x14ac:dyDescent="0.25">
      <c r="A36" s="4" t="s">
        <v>43</v>
      </c>
      <c r="B36" s="4" t="s">
        <v>48</v>
      </c>
      <c r="C36" s="4">
        <f>$C$1-(F36+J36+L36)</f>
        <v>142.89999999999964</v>
      </c>
      <c r="D36" s="4">
        <f t="shared" si="10"/>
        <v>109.19999999999891</v>
      </c>
      <c r="E36" s="4">
        <v>33.700000000000003</v>
      </c>
      <c r="F36" s="4">
        <v>8617.1</v>
      </c>
      <c r="G36" s="4"/>
      <c r="H36" s="4"/>
      <c r="I36" s="4">
        <v>98.617579908675808</v>
      </c>
      <c r="J36" s="4">
        <v>0</v>
      </c>
      <c r="K36" s="4">
        <v>0</v>
      </c>
      <c r="L36" s="4">
        <v>0</v>
      </c>
      <c r="M36" s="4">
        <v>0</v>
      </c>
      <c r="N36" s="4">
        <v>0</v>
      </c>
      <c r="O36" s="4">
        <v>1.2579908675799092</v>
      </c>
      <c r="P36" s="4">
        <v>1.2579908675799092</v>
      </c>
      <c r="Q36" s="4">
        <v>98.751728946857014</v>
      </c>
      <c r="R36" s="4">
        <v>0.96607958251793868</v>
      </c>
      <c r="S36" s="4">
        <v>0</v>
      </c>
      <c r="T36" s="4">
        <v>1777.2</v>
      </c>
      <c r="U36" s="4">
        <v>21</v>
      </c>
    </row>
    <row r="37" spans="1:21" x14ac:dyDescent="0.25">
      <c r="A37" s="4"/>
      <c r="B37" s="220" t="s">
        <v>39</v>
      </c>
      <c r="C37" s="220">
        <f>SUM(C35:C36)</f>
        <v>166.89999999999964</v>
      </c>
      <c r="D37" s="220">
        <f t="shared" ref="D37:F37" si="12">SUM(D35:D36)</f>
        <v>109.19999999999891</v>
      </c>
      <c r="E37" s="220">
        <f t="shared" si="12"/>
        <v>57.7</v>
      </c>
      <c r="F37" s="220">
        <f t="shared" si="12"/>
        <v>17353.099999999999</v>
      </c>
      <c r="G37" s="220"/>
      <c r="H37" s="220"/>
      <c r="I37" s="220">
        <v>99.171803652968052</v>
      </c>
      <c r="J37" s="220">
        <v>0</v>
      </c>
      <c r="K37" s="220">
        <v>0</v>
      </c>
      <c r="L37" s="220">
        <v>0</v>
      </c>
      <c r="M37" s="220">
        <v>0</v>
      </c>
      <c r="N37" s="220">
        <v>0</v>
      </c>
      <c r="O37" s="220">
        <v>0.7659817351598176</v>
      </c>
      <c r="P37" s="220">
        <v>0.7659817351598176</v>
      </c>
      <c r="Q37" s="220">
        <v>99.375864473428507</v>
      </c>
      <c r="R37" s="220">
        <v>0.48303979125896934</v>
      </c>
      <c r="S37" s="220">
        <v>0</v>
      </c>
      <c r="T37" s="220">
        <v>1777.2</v>
      </c>
      <c r="U37" s="220">
        <v>42</v>
      </c>
    </row>
    <row r="38" spans="1:21" x14ac:dyDescent="0.25">
      <c r="A38" s="4" t="s">
        <v>44</v>
      </c>
      <c r="B38" s="4" t="s">
        <v>52</v>
      </c>
      <c r="C38" s="4">
        <f>$C$1-(F38+J38+L38)</f>
        <v>0</v>
      </c>
      <c r="D38" s="4">
        <f>$C$1-(E38+F38+J38+L38)</f>
        <v>0</v>
      </c>
      <c r="E38" s="4">
        <v>0</v>
      </c>
      <c r="F38" s="4">
        <v>8760</v>
      </c>
      <c r="G38" s="4"/>
      <c r="H38" s="4"/>
      <c r="I38" s="4">
        <v>100</v>
      </c>
      <c r="J38" s="4">
        <v>0</v>
      </c>
      <c r="K38" s="4">
        <v>0</v>
      </c>
      <c r="L38" s="4">
        <v>0</v>
      </c>
      <c r="M38" s="4">
        <v>0</v>
      </c>
      <c r="N38" s="4">
        <v>0</v>
      </c>
      <c r="O38" s="4">
        <v>0</v>
      </c>
      <c r="P38" s="4">
        <v>0</v>
      </c>
      <c r="Q38" s="4">
        <v>100</v>
      </c>
      <c r="R38" s="4">
        <v>0</v>
      </c>
      <c r="S38" s="4">
        <v>0</v>
      </c>
      <c r="T38" s="4">
        <v>0</v>
      </c>
      <c r="U38" s="4">
        <v>21</v>
      </c>
    </row>
    <row r="39" spans="1:21" x14ac:dyDescent="0.25">
      <c r="A39" s="4"/>
      <c r="B39" s="4" t="s">
        <v>53</v>
      </c>
      <c r="C39" s="4">
        <f>$C$1-(F39+J39+L39)</f>
        <v>0</v>
      </c>
      <c r="D39" s="4">
        <f t="shared" ref="D39" si="13">$C$1-(E39+F39+J39+L39)</f>
        <v>0</v>
      </c>
      <c r="E39" s="4">
        <v>0</v>
      </c>
      <c r="F39" s="4">
        <v>8760</v>
      </c>
      <c r="G39" s="4"/>
      <c r="H39" s="4"/>
      <c r="I39" s="4">
        <v>100</v>
      </c>
      <c r="J39" s="4">
        <v>0</v>
      </c>
      <c r="K39" s="4">
        <v>0</v>
      </c>
      <c r="L39" s="4">
        <v>0</v>
      </c>
      <c r="M39" s="4">
        <v>0</v>
      </c>
      <c r="N39" s="4">
        <v>0</v>
      </c>
      <c r="O39" s="4">
        <v>0</v>
      </c>
      <c r="P39" s="4">
        <v>0</v>
      </c>
      <c r="Q39" s="4">
        <v>100</v>
      </c>
      <c r="R39" s="4">
        <v>0</v>
      </c>
      <c r="S39" s="4">
        <v>0</v>
      </c>
      <c r="T39" s="4">
        <v>0</v>
      </c>
      <c r="U39" s="4">
        <v>21</v>
      </c>
    </row>
    <row r="40" spans="1:21" x14ac:dyDescent="0.25">
      <c r="A40" s="4"/>
      <c r="B40" s="4" t="s">
        <v>39</v>
      </c>
      <c r="C40" s="220">
        <f>SUM(C38:C39)</f>
        <v>0</v>
      </c>
      <c r="D40" s="220">
        <f t="shared" ref="D40:F40" si="14">SUM(D38:D39)</f>
        <v>0</v>
      </c>
      <c r="E40" s="220">
        <f t="shared" si="14"/>
        <v>0</v>
      </c>
      <c r="F40" s="220">
        <f t="shared" si="14"/>
        <v>17520</v>
      </c>
      <c r="G40" s="220"/>
      <c r="H40" s="220"/>
      <c r="I40" s="220">
        <v>100</v>
      </c>
      <c r="J40" s="220">
        <v>0</v>
      </c>
      <c r="K40" s="220">
        <v>0</v>
      </c>
      <c r="L40" s="220">
        <v>0</v>
      </c>
      <c r="M40" s="220">
        <v>0</v>
      </c>
      <c r="N40" s="220">
        <v>0</v>
      </c>
      <c r="O40" s="220">
        <v>0</v>
      </c>
      <c r="P40" s="220">
        <v>0</v>
      </c>
      <c r="Q40" s="220">
        <v>100</v>
      </c>
      <c r="R40" s="220">
        <v>0</v>
      </c>
      <c r="S40" s="220">
        <v>0</v>
      </c>
      <c r="T40" s="220">
        <v>0</v>
      </c>
      <c r="U40" s="220">
        <v>42</v>
      </c>
    </row>
    <row r="41" spans="1:21" x14ac:dyDescent="0.25">
      <c r="A41" s="4" t="s">
        <v>56</v>
      </c>
      <c r="B41" s="4" t="s">
        <v>47</v>
      </c>
      <c r="C41" s="4">
        <f>$C$1-(F41+J41+L41)</f>
        <v>24</v>
      </c>
      <c r="D41" s="4">
        <f t="shared" ref="D41:D52" si="15">$C$1-(E41+F41+J41+L41)</f>
        <v>0</v>
      </c>
      <c r="E41" s="4">
        <v>24</v>
      </c>
      <c r="F41" s="4">
        <v>0</v>
      </c>
      <c r="G41" s="4"/>
      <c r="H41" s="4"/>
      <c r="I41" s="4">
        <v>0</v>
      </c>
      <c r="J41" s="4">
        <v>8736</v>
      </c>
      <c r="K41" s="4">
        <v>99.726027397260282</v>
      </c>
      <c r="L41" s="4">
        <v>0</v>
      </c>
      <c r="M41" s="4">
        <v>0</v>
      </c>
      <c r="N41" s="4">
        <v>0</v>
      </c>
      <c r="O41" s="4">
        <v>0.27397260273972601</v>
      </c>
      <c r="P41" s="4">
        <v>0.27397260273972601</v>
      </c>
      <c r="Q41" s="4">
        <v>0</v>
      </c>
      <c r="R41" s="4">
        <v>0</v>
      </c>
      <c r="S41" s="4">
        <v>0</v>
      </c>
      <c r="T41" s="4">
        <v>0</v>
      </c>
      <c r="U41" s="4">
        <v>21</v>
      </c>
    </row>
    <row r="42" spans="1:21" x14ac:dyDescent="0.25">
      <c r="A42" s="4"/>
      <c r="B42" s="4" t="s">
        <v>48</v>
      </c>
      <c r="C42" s="4">
        <f>$C$1-(F42+J42+L42)</f>
        <v>8472</v>
      </c>
      <c r="D42" s="4">
        <f t="shared" si="15"/>
        <v>1234.1000000000004</v>
      </c>
      <c r="E42" s="4">
        <v>7237.9</v>
      </c>
      <c r="F42" s="4">
        <v>288</v>
      </c>
      <c r="G42" s="4"/>
      <c r="H42" s="4"/>
      <c r="I42" s="4">
        <v>3.2876712328767121</v>
      </c>
      <c r="J42" s="4">
        <v>0</v>
      </c>
      <c r="K42" s="4">
        <v>0</v>
      </c>
      <c r="L42" s="4">
        <v>0</v>
      </c>
      <c r="M42" s="4">
        <v>0</v>
      </c>
      <c r="N42" s="4">
        <v>0</v>
      </c>
      <c r="O42" s="4">
        <v>96.712328767123296</v>
      </c>
      <c r="P42" s="4">
        <v>96.712328767123296</v>
      </c>
      <c r="Q42" s="4">
        <v>18.92122725182314</v>
      </c>
      <c r="R42" s="4">
        <v>9.2645140247879976</v>
      </c>
      <c r="S42" s="4">
        <v>0</v>
      </c>
      <c r="T42" s="4">
        <v>17043</v>
      </c>
      <c r="U42" s="4">
        <v>21</v>
      </c>
    </row>
    <row r="43" spans="1:21" x14ac:dyDescent="0.25">
      <c r="A43" s="4"/>
      <c r="B43" s="4" t="s">
        <v>39</v>
      </c>
      <c r="C43" s="220">
        <f>SUM(C41:C42)</f>
        <v>8496</v>
      </c>
      <c r="D43" s="220">
        <f>SUM(D41:D42)</f>
        <v>1234.1000000000004</v>
      </c>
      <c r="E43" s="220">
        <f t="shared" ref="E43:F43" si="16">SUM(E41:E42)</f>
        <v>7261.9</v>
      </c>
      <c r="F43" s="220">
        <f t="shared" si="16"/>
        <v>288</v>
      </c>
      <c r="G43" s="220"/>
      <c r="H43" s="220"/>
      <c r="I43" s="220">
        <v>1.6438356164383561</v>
      </c>
      <c r="J43" s="220">
        <v>8736</v>
      </c>
      <c r="K43" s="220">
        <v>49.863013698630141</v>
      </c>
      <c r="L43" s="220">
        <v>0</v>
      </c>
      <c r="M43" s="220">
        <v>0</v>
      </c>
      <c r="N43" s="220">
        <v>0</v>
      </c>
      <c r="O43" s="220">
        <v>48.493150684931507</v>
      </c>
      <c r="P43" s="220">
        <v>48.493150684931507</v>
      </c>
      <c r="Q43" s="220">
        <v>9.4606136259115701</v>
      </c>
      <c r="R43" s="220">
        <v>4.6322570123939988</v>
      </c>
      <c r="S43" s="220">
        <v>0</v>
      </c>
      <c r="T43" s="220">
        <v>17043</v>
      </c>
      <c r="U43" s="220">
        <v>42</v>
      </c>
    </row>
    <row r="44" spans="1:21" x14ac:dyDescent="0.25">
      <c r="A44" s="4" t="s">
        <v>57</v>
      </c>
      <c r="B44" s="4" t="s">
        <v>47</v>
      </c>
      <c r="C44" s="4">
        <f>$C$1-(F44+J44+L44)</f>
        <v>0</v>
      </c>
      <c r="D44" s="4">
        <f t="shared" si="15"/>
        <v>0</v>
      </c>
      <c r="E44" s="4">
        <v>0</v>
      </c>
      <c r="F44" s="4">
        <v>8760</v>
      </c>
      <c r="G44" s="4"/>
      <c r="H44" s="4"/>
      <c r="I44" s="4">
        <v>100</v>
      </c>
      <c r="J44" s="4">
        <v>0</v>
      </c>
      <c r="K44" s="4">
        <v>0</v>
      </c>
      <c r="L44" s="4">
        <v>0</v>
      </c>
      <c r="M44" s="4">
        <v>0</v>
      </c>
      <c r="N44" s="4">
        <v>0</v>
      </c>
      <c r="O44" s="4">
        <v>0</v>
      </c>
      <c r="P44" s="4">
        <v>0</v>
      </c>
      <c r="Q44" s="4">
        <v>100</v>
      </c>
      <c r="R44" s="4">
        <v>0</v>
      </c>
      <c r="S44" s="4">
        <v>0</v>
      </c>
      <c r="T44" s="4">
        <v>0</v>
      </c>
      <c r="U44" s="4">
        <v>21</v>
      </c>
    </row>
    <row r="45" spans="1:21" x14ac:dyDescent="0.25">
      <c r="A45" s="4"/>
      <c r="B45" s="4" t="s">
        <v>48</v>
      </c>
      <c r="C45" s="4">
        <f>$C$1-(F45+J45+L45)</f>
        <v>8760</v>
      </c>
      <c r="D45" s="4">
        <f t="shared" si="15"/>
        <v>1432.0999999999995</v>
      </c>
      <c r="E45" s="4">
        <v>7327.9000000000005</v>
      </c>
      <c r="F45" s="4">
        <v>0</v>
      </c>
      <c r="G45" s="4"/>
      <c r="H45" s="4"/>
      <c r="I45" s="4">
        <v>0</v>
      </c>
      <c r="J45" s="4">
        <v>0</v>
      </c>
      <c r="K45" s="4">
        <v>0</v>
      </c>
      <c r="L45" s="4">
        <v>0</v>
      </c>
      <c r="M45" s="4">
        <v>0</v>
      </c>
      <c r="N45" s="4">
        <v>0</v>
      </c>
      <c r="O45" s="4">
        <v>100</v>
      </c>
      <c r="P45" s="4">
        <v>100</v>
      </c>
      <c r="Q45" s="4">
        <v>0</v>
      </c>
      <c r="R45" s="4">
        <v>13.493150684931507</v>
      </c>
      <c r="S45" s="4">
        <v>0</v>
      </c>
      <c r="T45" s="4">
        <v>24822</v>
      </c>
      <c r="U45" s="4">
        <v>21</v>
      </c>
    </row>
    <row r="46" spans="1:21" x14ac:dyDescent="0.25">
      <c r="A46" s="4"/>
      <c r="B46" s="4" t="s">
        <v>39</v>
      </c>
      <c r="C46" s="220">
        <f>SUM(C44:C45)</f>
        <v>8760</v>
      </c>
      <c r="D46" s="220">
        <f>SUM(D44:D45)</f>
        <v>1432.0999999999995</v>
      </c>
      <c r="E46" s="220">
        <f t="shared" ref="E46:F46" si="17">SUM(E44:E45)</f>
        <v>7327.9000000000005</v>
      </c>
      <c r="F46" s="220">
        <f t="shared" si="17"/>
        <v>8760</v>
      </c>
      <c r="G46" s="220"/>
      <c r="H46" s="220"/>
      <c r="I46" s="220">
        <v>50</v>
      </c>
      <c r="J46" s="220">
        <v>0</v>
      </c>
      <c r="K46" s="220">
        <v>0</v>
      </c>
      <c r="L46" s="220">
        <v>0</v>
      </c>
      <c r="M46" s="220">
        <v>0</v>
      </c>
      <c r="N46" s="220">
        <v>0</v>
      </c>
      <c r="O46" s="220">
        <v>50</v>
      </c>
      <c r="P46" s="220">
        <v>50</v>
      </c>
      <c r="Q46" s="220">
        <v>50</v>
      </c>
      <c r="R46" s="220">
        <v>6.7465753424657535</v>
      </c>
      <c r="S46" s="220">
        <v>0</v>
      </c>
      <c r="T46" s="220">
        <v>24822</v>
      </c>
      <c r="U46" s="220">
        <v>42</v>
      </c>
    </row>
    <row r="47" spans="1:21" x14ac:dyDescent="0.25">
      <c r="A47" s="4" t="s">
        <v>58</v>
      </c>
      <c r="B47" s="4" t="s">
        <v>47</v>
      </c>
      <c r="C47" s="4">
        <f>$C$1-(F47+J47+L47)</f>
        <v>8760</v>
      </c>
      <c r="D47" s="4">
        <f t="shared" si="15"/>
        <v>1618.5000000000009</v>
      </c>
      <c r="E47" s="4">
        <v>7141.4999999999991</v>
      </c>
      <c r="F47" s="4">
        <v>0</v>
      </c>
      <c r="G47" s="4"/>
      <c r="H47" s="4"/>
      <c r="I47" s="4">
        <v>0</v>
      </c>
      <c r="J47" s="4">
        <v>0</v>
      </c>
      <c r="K47" s="4">
        <v>0</v>
      </c>
      <c r="L47" s="4">
        <v>0</v>
      </c>
      <c r="M47" s="4">
        <v>0</v>
      </c>
      <c r="N47" s="4">
        <v>0</v>
      </c>
      <c r="O47" s="4">
        <v>100</v>
      </c>
      <c r="P47" s="4">
        <v>100</v>
      </c>
      <c r="Q47" s="4">
        <v>0</v>
      </c>
      <c r="R47" s="4">
        <v>14.587953903022397</v>
      </c>
      <c r="S47" s="4">
        <v>0</v>
      </c>
      <c r="T47" s="4">
        <v>26836</v>
      </c>
      <c r="U47" s="4">
        <v>21</v>
      </c>
    </row>
    <row r="48" spans="1:21" x14ac:dyDescent="0.25">
      <c r="A48" s="4"/>
      <c r="B48" s="4" t="s">
        <v>48</v>
      </c>
      <c r="C48" s="4">
        <f>$C$1-(F48+J48+L48)</f>
        <v>8760</v>
      </c>
      <c r="D48" s="4">
        <f t="shared" si="15"/>
        <v>2122.3000000000002</v>
      </c>
      <c r="E48" s="4">
        <v>6637.7</v>
      </c>
      <c r="F48" s="4">
        <v>0</v>
      </c>
      <c r="G48" s="4"/>
      <c r="H48" s="4"/>
      <c r="I48" s="4">
        <v>16.986301369863014</v>
      </c>
      <c r="J48" s="4">
        <v>0</v>
      </c>
      <c r="K48" s="4">
        <v>0</v>
      </c>
      <c r="L48" s="4">
        <v>0</v>
      </c>
      <c r="M48" s="4">
        <v>0</v>
      </c>
      <c r="N48" s="4">
        <v>0</v>
      </c>
      <c r="O48" s="4">
        <v>74.520547945205479</v>
      </c>
      <c r="P48" s="4">
        <v>74.520547945205479</v>
      </c>
      <c r="Q48" s="4">
        <v>70.112613673844407</v>
      </c>
      <c r="R48" s="4">
        <v>6.1465068493150685</v>
      </c>
      <c r="S48" s="4">
        <v>0</v>
      </c>
      <c r="T48" s="4">
        <v>11307.114</v>
      </c>
      <c r="U48" s="4">
        <v>21</v>
      </c>
    </row>
    <row r="49" spans="1:21" x14ac:dyDescent="0.25">
      <c r="A49" s="4"/>
      <c r="B49" s="4" t="s">
        <v>39</v>
      </c>
      <c r="C49" s="220">
        <f>SUM(C47:C48)</f>
        <v>17520</v>
      </c>
      <c r="D49" s="220">
        <f>SUM(D47:D48)</f>
        <v>3740.8000000000011</v>
      </c>
      <c r="E49" s="220">
        <f t="shared" ref="E49:F49" si="18">SUM(E47:E48)</f>
        <v>13779.199999999999</v>
      </c>
      <c r="F49" s="220">
        <f t="shared" si="18"/>
        <v>0</v>
      </c>
      <c r="G49" s="220"/>
      <c r="H49" s="220"/>
      <c r="I49" s="220">
        <v>8.493150684931507</v>
      </c>
      <c r="J49" s="220">
        <v>0</v>
      </c>
      <c r="K49" s="220">
        <v>0</v>
      </c>
      <c r="L49" s="220">
        <v>0</v>
      </c>
      <c r="M49" s="220">
        <v>0</v>
      </c>
      <c r="N49" s="220">
        <v>0</v>
      </c>
      <c r="O49" s="220">
        <v>87.260273972602747</v>
      </c>
      <c r="P49" s="220">
        <v>87.260273972602747</v>
      </c>
      <c r="Q49" s="220">
        <v>35.056306836922204</v>
      </c>
      <c r="R49" s="220">
        <v>10.367230376168733</v>
      </c>
      <c r="S49" s="220">
        <v>0</v>
      </c>
      <c r="T49" s="220">
        <v>38143.114000000001</v>
      </c>
      <c r="U49" s="220">
        <v>42</v>
      </c>
    </row>
    <row r="50" spans="1:21" x14ac:dyDescent="0.25">
      <c r="A50" s="4" t="s">
        <v>59</v>
      </c>
      <c r="B50" s="4" t="s">
        <v>60</v>
      </c>
      <c r="C50" s="4">
        <f>$C$1-(F50+J50+L50)</f>
        <v>8154</v>
      </c>
      <c r="D50" s="4">
        <f t="shared" si="15"/>
        <v>2123.3999999999996</v>
      </c>
      <c r="E50" s="4">
        <v>6030.6</v>
      </c>
      <c r="F50" s="4">
        <v>606</v>
      </c>
      <c r="G50" s="4"/>
      <c r="H50" s="4"/>
      <c r="I50" s="4">
        <v>6.9178082191780819</v>
      </c>
      <c r="J50" s="4">
        <v>0</v>
      </c>
      <c r="K50" s="4">
        <v>0</v>
      </c>
      <c r="L50" s="4">
        <v>0</v>
      </c>
      <c r="M50" s="4">
        <v>0</v>
      </c>
      <c r="N50" s="4">
        <v>0</v>
      </c>
      <c r="O50" s="4">
        <v>93.082191780821915</v>
      </c>
      <c r="P50" s="4">
        <v>93.082191780821915</v>
      </c>
      <c r="Q50" s="4">
        <v>22.202681908111671</v>
      </c>
      <c r="R50" s="4">
        <v>22.256046000338237</v>
      </c>
      <c r="S50" s="4">
        <v>0</v>
      </c>
      <c r="T50" s="4">
        <v>52640</v>
      </c>
      <c r="U50" s="4">
        <v>27</v>
      </c>
    </row>
    <row r="51" spans="1:21" x14ac:dyDescent="0.25">
      <c r="A51" s="4" t="s">
        <v>61</v>
      </c>
      <c r="B51" s="4" t="s">
        <v>62</v>
      </c>
      <c r="C51" s="4">
        <f>$C$1-(F51+J51+L51)</f>
        <v>7762</v>
      </c>
      <c r="D51" s="4">
        <f t="shared" si="15"/>
        <v>1810.9999999999991</v>
      </c>
      <c r="E51" s="4">
        <v>5951.0000000000009</v>
      </c>
      <c r="F51" s="4">
        <v>998</v>
      </c>
      <c r="G51" s="4"/>
      <c r="H51" s="4"/>
      <c r="I51" s="4">
        <v>11.392694063926941</v>
      </c>
      <c r="J51" s="4">
        <v>0</v>
      </c>
      <c r="K51" s="4">
        <v>0</v>
      </c>
      <c r="L51" s="4">
        <v>0</v>
      </c>
      <c r="M51" s="4">
        <v>0</v>
      </c>
      <c r="N51" s="4">
        <v>0</v>
      </c>
      <c r="O51" s="4">
        <v>89.977168949771695</v>
      </c>
      <c r="P51" s="4">
        <v>89.977168949771695</v>
      </c>
      <c r="Q51" s="4">
        <v>35.52486384508596</v>
      </c>
      <c r="R51" s="4">
        <v>18.739641467951969</v>
      </c>
      <c r="S51" s="4">
        <v>0</v>
      </c>
      <c r="T51" s="4">
        <v>44323</v>
      </c>
      <c r="U51" s="4">
        <v>27</v>
      </c>
    </row>
    <row r="52" spans="1:21" x14ac:dyDescent="0.25">
      <c r="A52" s="4"/>
      <c r="B52" s="4" t="s">
        <v>63</v>
      </c>
      <c r="C52" s="4">
        <f>$C$1-(F52+J52+L52)</f>
        <v>8544</v>
      </c>
      <c r="D52" s="4">
        <f t="shared" si="15"/>
        <v>2141.0999999999995</v>
      </c>
      <c r="E52" s="4">
        <v>6402.9000000000005</v>
      </c>
      <c r="F52" s="4">
        <v>216</v>
      </c>
      <c r="G52" s="4"/>
      <c r="H52" s="4"/>
      <c r="I52" s="4">
        <v>2.4657534246575343</v>
      </c>
      <c r="J52" s="4">
        <v>0</v>
      </c>
      <c r="K52" s="4">
        <v>0</v>
      </c>
      <c r="L52" s="4">
        <v>0</v>
      </c>
      <c r="M52" s="4">
        <v>0</v>
      </c>
      <c r="N52" s="4">
        <v>0</v>
      </c>
      <c r="O52" s="4">
        <v>97.534246575342465</v>
      </c>
      <c r="P52" s="4">
        <v>97.534246575342465</v>
      </c>
      <c r="Q52" s="4">
        <v>9.1638029782359691</v>
      </c>
      <c r="R52" s="4">
        <v>19.159901911043463</v>
      </c>
      <c r="S52" s="4">
        <v>0</v>
      </c>
      <c r="T52" s="4">
        <v>45317</v>
      </c>
      <c r="U52" s="4">
        <v>27</v>
      </c>
    </row>
    <row r="53" spans="1:21" x14ac:dyDescent="0.25">
      <c r="A53" s="4"/>
      <c r="B53" s="4" t="s">
        <v>39</v>
      </c>
      <c r="C53" s="220">
        <f>SUM(C50:C52)</f>
        <v>24460</v>
      </c>
      <c r="D53" s="220">
        <f t="shared" ref="D53:E53" si="19">SUM(D50:D52)</f>
        <v>6075.4999999999982</v>
      </c>
      <c r="E53" s="220">
        <f t="shared" si="19"/>
        <v>18384.500000000004</v>
      </c>
      <c r="F53" s="220">
        <f t="shared" ref="F53" si="20">SUM(F50:F52)</f>
        <v>1820</v>
      </c>
      <c r="G53" s="220"/>
      <c r="H53" s="220"/>
      <c r="I53" s="220">
        <v>6.9254185692541856</v>
      </c>
      <c r="J53" s="220">
        <v>0</v>
      </c>
      <c r="K53" s="220">
        <v>0</v>
      </c>
      <c r="L53" s="220">
        <v>0</v>
      </c>
      <c r="M53" s="220">
        <v>0</v>
      </c>
      <c r="N53" s="220">
        <v>0</v>
      </c>
      <c r="O53" s="220">
        <v>93.531202435312025</v>
      </c>
      <c r="P53" s="220">
        <v>93.531202435312025</v>
      </c>
      <c r="Q53" s="220">
        <v>22.297116243811203</v>
      </c>
      <c r="R53" s="220">
        <v>20.051863126444555</v>
      </c>
      <c r="S53" s="220">
        <v>0</v>
      </c>
      <c r="T53" s="220">
        <v>142280</v>
      </c>
      <c r="U53" s="220">
        <v>81</v>
      </c>
    </row>
    <row r="54" spans="1:21" x14ac:dyDescent="0.25">
      <c r="A54" s="4" t="s">
        <v>64</v>
      </c>
      <c r="B54" s="4" t="s">
        <v>65</v>
      </c>
      <c r="C54" s="4">
        <f t="shared" ref="C54:C55" si="21">$C$1-(H54+J54+L54)</f>
        <v>8432.68</v>
      </c>
      <c r="D54" s="4">
        <f>$C$1-(E54+H54+J54+L54)</f>
        <v>4102.6400000000003</v>
      </c>
      <c r="E54" s="4">
        <v>4330.0399999999991</v>
      </c>
      <c r="F54" s="4">
        <v>83.050000000000011</v>
      </c>
      <c r="G54" s="4">
        <v>0</v>
      </c>
      <c r="H54" s="4">
        <f t="shared" ref="H54:H55" si="22">F54-G54</f>
        <v>83.050000000000011</v>
      </c>
      <c r="I54" s="4">
        <v>0.94805936073059371</v>
      </c>
      <c r="J54" s="4">
        <v>231.85</v>
      </c>
      <c r="K54" s="4">
        <v>2.6466894977168947</v>
      </c>
      <c r="L54" s="4">
        <v>12.42</v>
      </c>
      <c r="M54" s="4">
        <v>0.14178082191780822</v>
      </c>
      <c r="N54" s="4">
        <v>0</v>
      </c>
      <c r="O54" s="4">
        <v>96.264611872146105</v>
      </c>
      <c r="P54" s="4">
        <v>96.264611872146105</v>
      </c>
      <c r="Q54" s="4">
        <v>1.9840464035127539</v>
      </c>
      <c r="R54" s="4">
        <v>29.067109450671097</v>
      </c>
      <c r="S54" s="4">
        <v>0</v>
      </c>
      <c r="T54" s="4">
        <v>210068</v>
      </c>
      <c r="U54" s="4">
        <v>82.5</v>
      </c>
    </row>
    <row r="55" spans="1:21" x14ac:dyDescent="0.25">
      <c r="A55" s="4"/>
      <c r="B55" s="4" t="s">
        <v>66</v>
      </c>
      <c r="C55" s="4">
        <f t="shared" si="21"/>
        <v>8415.2199999999993</v>
      </c>
      <c r="D55" s="4">
        <f t="shared" ref="D55" si="23">$C$1-(E55+H55+J55+L55)</f>
        <v>4431.0200000000004</v>
      </c>
      <c r="E55" s="4">
        <v>3984.2</v>
      </c>
      <c r="F55" s="4">
        <v>1049.18</v>
      </c>
      <c r="G55" s="216">
        <v>922.5</v>
      </c>
      <c r="H55" s="4">
        <f t="shared" si="22"/>
        <v>126.68000000000006</v>
      </c>
      <c r="I55" s="4">
        <v>11.976940639269406</v>
      </c>
      <c r="J55" s="4">
        <v>192.89999999999998</v>
      </c>
      <c r="K55" s="4">
        <v>2.202054794520548</v>
      </c>
      <c r="L55" s="4">
        <v>25.200000000000003</v>
      </c>
      <c r="M55" s="4">
        <v>0.28767123287671237</v>
      </c>
      <c r="N55" s="4">
        <v>0</v>
      </c>
      <c r="O55" s="4">
        <v>85.536757990867585</v>
      </c>
      <c r="P55" s="4">
        <v>85.536757990867585</v>
      </c>
      <c r="Q55" s="4">
        <v>23.01994427013625</v>
      </c>
      <c r="R55" s="4">
        <v>26.687837276878373</v>
      </c>
      <c r="S55" s="4">
        <v>0</v>
      </c>
      <c r="T55" s="4">
        <v>192873</v>
      </c>
      <c r="U55" s="4">
        <v>82.5</v>
      </c>
    </row>
    <row r="56" spans="1:21" x14ac:dyDescent="0.25">
      <c r="A56" s="4"/>
      <c r="B56" s="4" t="s">
        <v>39</v>
      </c>
      <c r="C56" s="219">
        <f>SUM(C54:C55)</f>
        <v>16847.900000000001</v>
      </c>
      <c r="D56" s="220">
        <f>SUM(D54:D55)</f>
        <v>8533.66</v>
      </c>
      <c r="E56" s="220">
        <f t="shared" ref="E56:F56" si="24">SUM(E54:E55)</f>
        <v>8314.239999999998</v>
      </c>
      <c r="F56" s="220">
        <f t="shared" si="24"/>
        <v>1132.23</v>
      </c>
      <c r="G56" s="219">
        <f>SUM(G54:G55)</f>
        <v>922.5</v>
      </c>
      <c r="H56" s="219">
        <f>SUM(H54:H55)</f>
        <v>209.73000000000008</v>
      </c>
      <c r="I56" s="220">
        <v>6.4625000000000004</v>
      </c>
      <c r="J56" s="220">
        <v>424.75</v>
      </c>
      <c r="K56" s="220">
        <v>2.4243721461187211</v>
      </c>
      <c r="L56" s="220">
        <v>37.620000000000005</v>
      </c>
      <c r="M56" s="220">
        <v>0.21472602739726029</v>
      </c>
      <c r="N56" s="220">
        <v>0</v>
      </c>
      <c r="O56" s="220">
        <v>90.900684931506845</v>
      </c>
      <c r="P56" s="220">
        <v>90.900684931506845</v>
      </c>
      <c r="Q56" s="220">
        <v>12.501995336824502</v>
      </c>
      <c r="R56" s="220">
        <v>27.877473363774737</v>
      </c>
      <c r="S56" s="220">
        <v>0</v>
      </c>
      <c r="T56" s="220">
        <v>402941</v>
      </c>
      <c r="U56" s="220">
        <v>165</v>
      </c>
    </row>
    <row r="57" spans="1:21" x14ac:dyDescent="0.25">
      <c r="A57" s="4" t="s">
        <v>67</v>
      </c>
      <c r="B57" s="4" t="s">
        <v>68</v>
      </c>
      <c r="C57" s="4">
        <v>5346.5</v>
      </c>
      <c r="D57" s="4">
        <v>2575.5499999999997</v>
      </c>
      <c r="E57" s="4">
        <v>3251.3500000000004</v>
      </c>
      <c r="F57" s="4">
        <v>3397.5</v>
      </c>
      <c r="G57" s="4"/>
      <c r="H57" s="4"/>
      <c r="I57" s="4">
        <v>38.784246575342465</v>
      </c>
      <c r="J57" s="4">
        <v>0</v>
      </c>
      <c r="K57" s="4">
        <v>0</v>
      </c>
      <c r="L57" s="4">
        <v>16</v>
      </c>
      <c r="M57" s="4">
        <v>0.18264840182648401</v>
      </c>
      <c r="N57" s="4">
        <v>0</v>
      </c>
      <c r="O57" s="4">
        <v>61.033105022831045</v>
      </c>
      <c r="P57" s="4">
        <v>61.033105022831045</v>
      </c>
      <c r="Q57" s="4">
        <v>56.880488192799326</v>
      </c>
      <c r="R57" s="4">
        <v>23.025093399750936</v>
      </c>
      <c r="S57" s="4">
        <v>0</v>
      </c>
      <c r="T57" s="4">
        <v>110934.90000000001</v>
      </c>
      <c r="U57" s="4">
        <v>55</v>
      </c>
    </row>
    <row r="58" spans="1:21" x14ac:dyDescent="0.25">
      <c r="A58" s="4"/>
      <c r="B58" s="4" t="s">
        <v>65</v>
      </c>
      <c r="C58" s="4">
        <v>8485.35</v>
      </c>
      <c r="D58" s="4">
        <v>3167.0999999999995</v>
      </c>
      <c r="E58" s="4">
        <v>5111.55</v>
      </c>
      <c r="F58" s="4">
        <v>53.5</v>
      </c>
      <c r="G58" s="4"/>
      <c r="H58" s="4"/>
      <c r="I58" s="4">
        <v>0.61073059360730597</v>
      </c>
      <c r="J58" s="4">
        <v>16.399999999999999</v>
      </c>
      <c r="K58" s="4">
        <v>0.18721461187214608</v>
      </c>
      <c r="L58" s="4">
        <v>204.75</v>
      </c>
      <c r="M58" s="4">
        <v>2.3373287671232879</v>
      </c>
      <c r="N58" s="4">
        <v>0</v>
      </c>
      <c r="O58" s="4">
        <v>96.864726027397268</v>
      </c>
      <c r="P58" s="4">
        <v>96.864726027397268</v>
      </c>
      <c r="Q58" s="4">
        <v>1.6274754357679555</v>
      </c>
      <c r="R58" s="4">
        <v>28.168264840182651</v>
      </c>
      <c r="S58" s="4">
        <v>0</v>
      </c>
      <c r="T58" s="4">
        <v>135714.70000000001</v>
      </c>
      <c r="U58" s="4">
        <v>55</v>
      </c>
    </row>
    <row r="59" spans="1:21" x14ac:dyDescent="0.25">
      <c r="A59" s="4"/>
      <c r="B59" s="77">
        <v>3</v>
      </c>
      <c r="C59" s="4">
        <v>4120.3500000000004</v>
      </c>
      <c r="D59" s="4">
        <v>1320.2000000000003</v>
      </c>
      <c r="E59" s="4">
        <v>2793.45</v>
      </c>
      <c r="F59" s="4">
        <v>4502.2749999999996</v>
      </c>
      <c r="G59" s="4"/>
      <c r="H59" s="4"/>
      <c r="I59" s="4">
        <v>51.395833333333329</v>
      </c>
      <c r="J59" s="4">
        <v>130</v>
      </c>
      <c r="K59" s="4">
        <v>1.4840182648401825</v>
      </c>
      <c r="L59" s="4">
        <v>7.375</v>
      </c>
      <c r="M59" s="4">
        <v>8.4189497716894976E-2</v>
      </c>
      <c r="N59" s="4">
        <v>0</v>
      </c>
      <c r="O59" s="4">
        <v>47.035958904109592</v>
      </c>
      <c r="P59" s="4">
        <v>47.035958904109592</v>
      </c>
      <c r="Q59" s="4">
        <v>73.408552666441125</v>
      </c>
      <c r="R59" s="4">
        <v>11.553113325031134</v>
      </c>
      <c r="S59" s="4">
        <v>0</v>
      </c>
      <c r="T59" s="4">
        <v>55662.9</v>
      </c>
      <c r="U59" s="4">
        <v>55</v>
      </c>
    </row>
    <row r="60" spans="1:21" x14ac:dyDescent="0.25">
      <c r="A60" s="4"/>
      <c r="B60" s="77">
        <v>4</v>
      </c>
      <c r="C60" s="4">
        <v>4432.75</v>
      </c>
      <c r="D60" s="4">
        <v>1450.6000000000001</v>
      </c>
      <c r="E60" s="4">
        <v>2982.15</v>
      </c>
      <c r="F60" s="4">
        <v>4307.5</v>
      </c>
      <c r="G60" s="4"/>
      <c r="H60" s="4"/>
      <c r="I60" s="4">
        <v>49.172374429223744</v>
      </c>
      <c r="J60" s="4">
        <v>0</v>
      </c>
      <c r="K60" s="4">
        <v>0</v>
      </c>
      <c r="L60" s="4">
        <v>19.75</v>
      </c>
      <c r="M60" s="4">
        <v>0.22545662100456623</v>
      </c>
      <c r="N60" s="4">
        <v>0</v>
      </c>
      <c r="O60" s="4">
        <v>50.602168949771688</v>
      </c>
      <c r="P60" s="4">
        <v>50.602168949771688</v>
      </c>
      <c r="Q60" s="4">
        <v>70.901848468388394</v>
      </c>
      <c r="R60" s="4">
        <v>13.195060190950603</v>
      </c>
      <c r="S60" s="4">
        <v>0</v>
      </c>
      <c r="T60" s="4">
        <v>63573.8</v>
      </c>
      <c r="U60" s="4">
        <v>55</v>
      </c>
    </row>
    <row r="61" spans="1:21" x14ac:dyDescent="0.25">
      <c r="A61" s="4"/>
      <c r="B61" s="4" t="s">
        <v>39</v>
      </c>
      <c r="C61" s="219">
        <f>SUM(C57:C60)</f>
        <v>22384.95</v>
      </c>
      <c r="D61" s="219">
        <f>SUM(D57:D60)</f>
        <v>8513.4500000000007</v>
      </c>
      <c r="E61" s="219">
        <f>SUM(E57:E60)</f>
        <v>14138.500000000002</v>
      </c>
      <c r="F61" s="219">
        <f>SUM(F57:F60)</f>
        <v>12260.775</v>
      </c>
      <c r="G61" s="220"/>
      <c r="H61" s="220"/>
      <c r="I61" s="220">
        <v>34.990796232876711</v>
      </c>
      <c r="J61" s="220">
        <v>146.4</v>
      </c>
      <c r="K61" s="220">
        <v>0.41780821917808214</v>
      </c>
      <c r="L61" s="220">
        <v>247.875</v>
      </c>
      <c r="M61" s="220">
        <v>0.70740582191780832</v>
      </c>
      <c r="N61" s="220">
        <v>0</v>
      </c>
      <c r="O61" s="220">
        <v>63.883989726027401</v>
      </c>
      <c r="P61" s="220">
        <v>63.883989726027401</v>
      </c>
      <c r="Q61" s="220">
        <v>50.7045911908492</v>
      </c>
      <c r="R61" s="220">
        <v>18.98538293897883</v>
      </c>
      <c r="S61" s="220">
        <v>0</v>
      </c>
      <c r="T61" s="220">
        <v>365886.30000000005</v>
      </c>
      <c r="U61" s="220">
        <v>220</v>
      </c>
    </row>
    <row r="62" spans="1:21" x14ac:dyDescent="0.25">
      <c r="A62" s="4" t="s">
        <v>69</v>
      </c>
      <c r="B62" s="4" t="s">
        <v>70</v>
      </c>
      <c r="C62" s="216">
        <v>7525.65</v>
      </c>
      <c r="D62" s="4">
        <v>5007.95</v>
      </c>
      <c r="E62" s="4">
        <v>2517.6999999999998</v>
      </c>
      <c r="F62" s="4">
        <v>1140.5</v>
      </c>
      <c r="G62" s="4"/>
      <c r="H62" s="4"/>
      <c r="I62" s="4">
        <v>13.019406392694064</v>
      </c>
      <c r="J62" s="4">
        <v>37.380000000000003</v>
      </c>
      <c r="K62" s="4">
        <v>0.42671232876712334</v>
      </c>
      <c r="L62" s="4">
        <v>56.47</v>
      </c>
      <c r="M62" s="4">
        <v>0.64463470319634697</v>
      </c>
      <c r="N62" s="4">
        <v>0</v>
      </c>
      <c r="O62" s="4">
        <v>88.007191780821927</v>
      </c>
      <c r="P62" s="4">
        <v>88.007191780821927</v>
      </c>
      <c r="Q62" s="4">
        <v>18.549390496791876</v>
      </c>
      <c r="R62" s="4">
        <v>57.592121917808228</v>
      </c>
      <c r="S62" s="4">
        <v>0</v>
      </c>
      <c r="T62" s="4">
        <v>126126.747</v>
      </c>
      <c r="U62" s="4">
        <v>25</v>
      </c>
    </row>
    <row r="63" spans="1:21" x14ac:dyDescent="0.25">
      <c r="A63" s="4"/>
      <c r="B63" s="4" t="s">
        <v>71</v>
      </c>
      <c r="C63" s="216">
        <v>8271.19</v>
      </c>
      <c r="D63" s="4">
        <v>6207.1</v>
      </c>
      <c r="E63" s="4">
        <v>2064.09</v>
      </c>
      <c r="F63" s="4">
        <v>392.43</v>
      </c>
      <c r="G63" s="4"/>
      <c r="H63" s="4"/>
      <c r="I63" s="4">
        <v>4.4797945205479452</v>
      </c>
      <c r="J63" s="4">
        <v>32.159999999999997</v>
      </c>
      <c r="K63" s="4">
        <v>0.36712328767123287</v>
      </c>
      <c r="L63" s="4">
        <v>64.22</v>
      </c>
      <c r="M63" s="4">
        <v>0.73310502283105017</v>
      </c>
      <c r="N63" s="4">
        <v>0</v>
      </c>
      <c r="O63" s="4">
        <v>96.533561643835625</v>
      </c>
      <c r="P63" s="4">
        <v>96.533561643835625</v>
      </c>
      <c r="Q63" s="4">
        <v>5.9463325418628292</v>
      </c>
      <c r="R63" s="4">
        <v>67.522844748858446</v>
      </c>
      <c r="S63" s="4">
        <v>0</v>
      </c>
      <c r="T63" s="4">
        <v>147875.03</v>
      </c>
      <c r="U63" s="4">
        <v>25</v>
      </c>
    </row>
    <row r="64" spans="1:21" x14ac:dyDescent="0.25">
      <c r="A64" s="4"/>
      <c r="B64" s="4" t="s">
        <v>72</v>
      </c>
      <c r="C64" s="216">
        <v>7810.3099999999995</v>
      </c>
      <c r="D64" s="4">
        <v>5352.62</v>
      </c>
      <c r="E64" s="4">
        <v>2457.69</v>
      </c>
      <c r="F64" s="4">
        <v>111.05</v>
      </c>
      <c r="G64" s="4"/>
      <c r="H64" s="4"/>
      <c r="I64" s="4">
        <v>1.2676940639269405</v>
      </c>
      <c r="J64" s="4">
        <v>775.76</v>
      </c>
      <c r="K64" s="4">
        <v>8.8557077625570777</v>
      </c>
      <c r="L64" s="4">
        <v>62.88</v>
      </c>
      <c r="M64" s="4">
        <v>0.71780821917808213</v>
      </c>
      <c r="N64" s="4">
        <v>0</v>
      </c>
      <c r="O64" s="4">
        <v>91.268264840182638</v>
      </c>
      <c r="P64" s="4">
        <v>91.268264840182638</v>
      </c>
      <c r="Q64" s="4">
        <v>2.0325166051390364</v>
      </c>
      <c r="R64" s="4">
        <v>56.728056621004562</v>
      </c>
      <c r="S64" s="4">
        <v>0</v>
      </c>
      <c r="T64" s="4">
        <v>124234.44399999999</v>
      </c>
      <c r="U64" s="4">
        <v>25</v>
      </c>
    </row>
    <row r="65" spans="1:25" x14ac:dyDescent="0.25">
      <c r="A65" s="4"/>
      <c r="B65" s="4" t="s">
        <v>73</v>
      </c>
      <c r="C65" s="216">
        <v>3361.36</v>
      </c>
      <c r="D65" s="4">
        <v>2769.1</v>
      </c>
      <c r="E65" s="4">
        <v>592.26</v>
      </c>
      <c r="F65" s="4">
        <v>5398.6399999999994</v>
      </c>
      <c r="G65" s="4"/>
      <c r="H65" s="4"/>
      <c r="I65" s="4">
        <v>61.628310502283099</v>
      </c>
      <c r="J65" s="4">
        <v>0</v>
      </c>
      <c r="K65" s="4">
        <v>0</v>
      </c>
      <c r="L65" s="4">
        <v>0</v>
      </c>
      <c r="M65" s="4">
        <v>0</v>
      </c>
      <c r="N65" s="4">
        <v>0</v>
      </c>
      <c r="O65" s="4">
        <v>50.410958904109592</v>
      </c>
      <c r="P65" s="4">
        <v>50.410958904109592</v>
      </c>
      <c r="Q65" s="4">
        <v>66.097108869773024</v>
      </c>
      <c r="R65" s="4">
        <v>31.769852054794516</v>
      </c>
      <c r="S65" s="4">
        <v>0</v>
      </c>
      <c r="T65" s="4">
        <v>69575.975999999995</v>
      </c>
      <c r="U65" s="4">
        <v>25</v>
      </c>
    </row>
    <row r="66" spans="1:25" x14ac:dyDescent="0.25">
      <c r="A66" s="4"/>
      <c r="B66" s="4" t="s">
        <v>74</v>
      </c>
      <c r="C66" s="216">
        <v>8379.82</v>
      </c>
      <c r="D66" s="4">
        <v>6348.93</v>
      </c>
      <c r="E66" s="4">
        <v>2030.890000000001</v>
      </c>
      <c r="F66" s="4">
        <v>289.11</v>
      </c>
      <c r="G66" s="4"/>
      <c r="H66" s="4"/>
      <c r="I66" s="4">
        <v>3.3003424657534244</v>
      </c>
      <c r="J66" s="4">
        <v>28.29</v>
      </c>
      <c r="K66" s="4">
        <v>0.32294520547945205</v>
      </c>
      <c r="L66" s="4">
        <v>62.78</v>
      </c>
      <c r="M66" s="4">
        <v>0.71666666666666667</v>
      </c>
      <c r="N66" s="4">
        <v>0</v>
      </c>
      <c r="O66" s="4">
        <v>98.118036529680367</v>
      </c>
      <c r="P66" s="4">
        <v>98.118036529680367</v>
      </c>
      <c r="Q66" s="4">
        <v>4.3553518809769152</v>
      </c>
      <c r="R66" s="4">
        <v>66.825190410958911</v>
      </c>
      <c r="S66" s="4">
        <v>0</v>
      </c>
      <c r="T66" s="4">
        <v>146347.16700000002</v>
      </c>
      <c r="U66" s="4">
        <v>25</v>
      </c>
    </row>
    <row r="67" spans="1:25" x14ac:dyDescent="0.25">
      <c r="A67" s="4"/>
      <c r="B67" s="4" t="s">
        <v>75</v>
      </c>
      <c r="C67" s="216">
        <v>8420.56</v>
      </c>
      <c r="D67" s="4">
        <v>6250.5499999999993</v>
      </c>
      <c r="E67" s="4">
        <v>2170.0100000000011</v>
      </c>
      <c r="F67" s="4">
        <v>245.61</v>
      </c>
      <c r="G67" s="4"/>
      <c r="H67" s="4"/>
      <c r="I67" s="4">
        <v>2.8037671232876713</v>
      </c>
      <c r="J67" s="4">
        <v>27</v>
      </c>
      <c r="K67" s="4">
        <v>0.30821917808219179</v>
      </c>
      <c r="L67" s="4">
        <v>66.83</v>
      </c>
      <c r="M67" s="4">
        <v>0.76289954337899535</v>
      </c>
      <c r="N67" s="4">
        <v>0</v>
      </c>
      <c r="O67" s="4">
        <v>99.902397260273972</v>
      </c>
      <c r="P67" s="4">
        <v>99.902397260273972</v>
      </c>
      <c r="Q67" s="4">
        <v>3.7808489938671466</v>
      </c>
      <c r="R67" s="4">
        <v>66.388292694063907</v>
      </c>
      <c r="S67" s="4">
        <v>0</v>
      </c>
      <c r="T67" s="4">
        <v>145390.36099999998</v>
      </c>
      <c r="U67" s="4">
        <v>25</v>
      </c>
    </row>
    <row r="68" spans="1:25" x14ac:dyDescent="0.25">
      <c r="A68" s="4"/>
      <c r="B68" s="4" t="s">
        <v>76</v>
      </c>
      <c r="C68" s="216">
        <v>8628.07</v>
      </c>
      <c r="D68" s="4">
        <v>6650.87</v>
      </c>
      <c r="E68" s="4">
        <v>1977.2000000000035</v>
      </c>
      <c r="F68" s="4">
        <v>57.61</v>
      </c>
      <c r="G68" s="4"/>
      <c r="H68" s="4"/>
      <c r="I68" s="4">
        <v>0.65764840182648399</v>
      </c>
      <c r="J68" s="4">
        <v>26.54</v>
      </c>
      <c r="K68" s="4">
        <v>0.30296803652968035</v>
      </c>
      <c r="L68" s="4">
        <v>47.78</v>
      </c>
      <c r="M68" s="4">
        <v>0.54543378995433789</v>
      </c>
      <c r="N68" s="4">
        <v>0</v>
      </c>
      <c r="O68" s="4">
        <v>99.892694063926939</v>
      </c>
      <c r="P68" s="4">
        <v>99.892694063926939</v>
      </c>
      <c r="Q68" s="4">
        <v>0.85876383323793171</v>
      </c>
      <c r="R68" s="4">
        <v>69.494284474885845</v>
      </c>
      <c r="S68" s="4">
        <v>0</v>
      </c>
      <c r="T68" s="4">
        <v>152192.48300000001</v>
      </c>
      <c r="U68" s="4">
        <v>25</v>
      </c>
    </row>
    <row r="69" spans="1:25" x14ac:dyDescent="0.25">
      <c r="A69" s="4"/>
      <c r="B69" s="4" t="s">
        <v>77</v>
      </c>
      <c r="C69" s="216">
        <v>8474.77</v>
      </c>
      <c r="D69" s="4">
        <v>5861.92</v>
      </c>
      <c r="E69" s="4">
        <v>2612.8500000000004</v>
      </c>
      <c r="F69" s="4">
        <v>195.22</v>
      </c>
      <c r="G69" s="4"/>
      <c r="H69" s="4"/>
      <c r="I69" s="4">
        <v>2.2285388127853878</v>
      </c>
      <c r="J69" s="4">
        <v>27.31</v>
      </c>
      <c r="K69" s="4">
        <v>0.31175799086757988</v>
      </c>
      <c r="L69" s="4">
        <v>62.7</v>
      </c>
      <c r="M69" s="4">
        <v>0.71575342465753422</v>
      </c>
      <c r="N69" s="4">
        <v>0</v>
      </c>
      <c r="O69" s="4">
        <v>98.651369863013699</v>
      </c>
      <c r="P69" s="4">
        <v>98.651369863013699</v>
      </c>
      <c r="Q69" s="4">
        <v>3.2229732183835935</v>
      </c>
      <c r="R69" s="4">
        <v>60.826307305936069</v>
      </c>
      <c r="S69" s="4">
        <v>0</v>
      </c>
      <c r="T69" s="4">
        <v>133209.61299999998</v>
      </c>
      <c r="U69" s="4">
        <v>25</v>
      </c>
    </row>
    <row r="70" spans="1:25" x14ac:dyDescent="0.25">
      <c r="A70" s="4"/>
      <c r="B70" s="4" t="s">
        <v>78</v>
      </c>
      <c r="C70" s="216">
        <v>4478.26</v>
      </c>
      <c r="D70" s="4">
        <v>3523.7</v>
      </c>
      <c r="E70" s="4">
        <v>954.56</v>
      </c>
      <c r="F70" s="4">
        <v>4234.09</v>
      </c>
      <c r="G70" s="4"/>
      <c r="H70" s="4"/>
      <c r="I70" s="4">
        <v>48.334360730593609</v>
      </c>
      <c r="J70" s="4">
        <v>24</v>
      </c>
      <c r="K70" s="4">
        <v>0.27397260273972601</v>
      </c>
      <c r="L70" s="4">
        <v>23.65</v>
      </c>
      <c r="M70" s="4">
        <v>0.2699771689497717</v>
      </c>
      <c r="N70" s="4">
        <v>0</v>
      </c>
      <c r="O70" s="4">
        <v>58.904109589041099</v>
      </c>
      <c r="P70" s="4">
        <v>58.904109589041099</v>
      </c>
      <c r="Q70" s="4">
        <v>54.578559099949864</v>
      </c>
      <c r="R70" s="4">
        <v>39.510463926940638</v>
      </c>
      <c r="S70" s="4">
        <v>0</v>
      </c>
      <c r="T70" s="4">
        <v>86527.915999999997</v>
      </c>
      <c r="U70" s="4">
        <v>25</v>
      </c>
    </row>
    <row r="71" spans="1:25" x14ac:dyDescent="0.25">
      <c r="A71" s="4"/>
      <c r="B71" s="4" t="s">
        <v>79</v>
      </c>
      <c r="C71" s="216">
        <v>8502.6899999999987</v>
      </c>
      <c r="D71" s="4">
        <v>6807.01</v>
      </c>
      <c r="E71" s="4">
        <v>1695.68</v>
      </c>
      <c r="F71" s="4">
        <v>160.38</v>
      </c>
      <c r="G71" s="4"/>
      <c r="H71" s="4"/>
      <c r="I71" s="4">
        <v>1.8308219178082192</v>
      </c>
      <c r="J71" s="4">
        <v>96.93</v>
      </c>
      <c r="K71" s="4">
        <v>1.1065068493150687</v>
      </c>
      <c r="L71" s="4">
        <v>0</v>
      </c>
      <c r="M71" s="4">
        <v>0</v>
      </c>
      <c r="N71" s="4">
        <v>0</v>
      </c>
      <c r="O71" s="4">
        <v>98.631506849315059</v>
      </c>
      <c r="P71" s="4">
        <v>98.631506849315059</v>
      </c>
      <c r="Q71" s="4">
        <v>2.3018662655599873</v>
      </c>
      <c r="R71" s="4">
        <v>69.938381278538813</v>
      </c>
      <c r="S71" s="4">
        <v>0</v>
      </c>
      <c r="T71" s="4">
        <v>153165.05499999999</v>
      </c>
      <c r="U71" s="4">
        <v>25</v>
      </c>
    </row>
    <row r="72" spans="1:25" x14ac:dyDescent="0.25">
      <c r="A72" s="4" t="s">
        <v>80</v>
      </c>
      <c r="B72" s="4" t="s">
        <v>70</v>
      </c>
      <c r="C72" s="216">
        <v>8682</v>
      </c>
      <c r="D72" s="4">
        <v>7142.23</v>
      </c>
      <c r="E72" s="4">
        <v>1539.77</v>
      </c>
      <c r="F72" s="4">
        <v>18.66</v>
      </c>
      <c r="G72" s="4"/>
      <c r="H72" s="4"/>
      <c r="I72" s="4">
        <v>0.213013698630137</v>
      </c>
      <c r="J72" s="4">
        <v>0</v>
      </c>
      <c r="K72" s="4">
        <v>0</v>
      </c>
      <c r="L72" s="4">
        <v>59.34</v>
      </c>
      <c r="M72" s="4">
        <v>0.67739726027397262</v>
      </c>
      <c r="N72" s="4">
        <v>0</v>
      </c>
      <c r="O72" s="4">
        <v>99.980821917808214</v>
      </c>
      <c r="P72" s="4">
        <v>99.980821917808214</v>
      </c>
      <c r="Q72" s="4">
        <v>0.26058213434363608</v>
      </c>
      <c r="R72" s="4">
        <v>73.567143835616449</v>
      </c>
      <c r="S72" s="4">
        <v>0</v>
      </c>
      <c r="T72" s="4">
        <v>161112.04500000001</v>
      </c>
      <c r="U72" s="4">
        <v>25</v>
      </c>
    </row>
    <row r="73" spans="1:25" x14ac:dyDescent="0.25">
      <c r="A73" s="4"/>
      <c r="B73" s="4" t="s">
        <v>71</v>
      </c>
      <c r="C73" s="216">
        <v>8486.4500000000007</v>
      </c>
      <c r="D73" s="4">
        <v>6942.32</v>
      </c>
      <c r="E73" s="4">
        <v>1544.13</v>
      </c>
      <c r="F73" s="4">
        <v>215.73000000000002</v>
      </c>
      <c r="G73" s="4"/>
      <c r="H73" s="4"/>
      <c r="I73" s="4">
        <v>2.4626712328767129</v>
      </c>
      <c r="J73" s="4">
        <v>0</v>
      </c>
      <c r="K73" s="4">
        <v>0</v>
      </c>
      <c r="L73" s="4">
        <v>57.82</v>
      </c>
      <c r="M73" s="4">
        <v>0.66004566210045668</v>
      </c>
      <c r="N73" s="4">
        <v>0</v>
      </c>
      <c r="O73" s="4">
        <v>97.570091324200902</v>
      </c>
      <c r="P73" s="4">
        <v>97.570091324200902</v>
      </c>
      <c r="Q73" s="4">
        <v>3.0138096269235342</v>
      </c>
      <c r="R73" s="4">
        <v>71.176209132420112</v>
      </c>
      <c r="S73" s="4">
        <v>0</v>
      </c>
      <c r="T73" s="4">
        <v>155875.89800000004</v>
      </c>
      <c r="U73" s="4">
        <v>25</v>
      </c>
    </row>
    <row r="74" spans="1:25" x14ac:dyDescent="0.25">
      <c r="A74" s="4"/>
      <c r="B74" s="4" t="s">
        <v>72</v>
      </c>
      <c r="C74" s="216">
        <v>8636.2999999999993</v>
      </c>
      <c r="D74" s="4">
        <v>6751.5399999999991</v>
      </c>
      <c r="E74" s="4">
        <v>1884.76</v>
      </c>
      <c r="F74" s="4">
        <v>28.220000000000002</v>
      </c>
      <c r="G74" s="4"/>
      <c r="H74" s="4"/>
      <c r="I74" s="4">
        <v>0.32214611872146121</v>
      </c>
      <c r="J74" s="4">
        <v>0</v>
      </c>
      <c r="K74" s="4">
        <v>0</v>
      </c>
      <c r="L74" s="4">
        <v>95.48</v>
      </c>
      <c r="M74" s="4">
        <v>1.0899543378995433</v>
      </c>
      <c r="N74" s="4">
        <v>0</v>
      </c>
      <c r="O74" s="4">
        <v>99.679794520547944</v>
      </c>
      <c r="P74" s="4">
        <v>99.679794520547944</v>
      </c>
      <c r="Q74" s="4">
        <v>0.41623892291172554</v>
      </c>
      <c r="R74" s="4">
        <v>76.511371004566215</v>
      </c>
      <c r="S74" s="4">
        <v>0</v>
      </c>
      <c r="T74" s="4">
        <v>134047.92199999999</v>
      </c>
      <c r="U74" s="4">
        <v>20</v>
      </c>
    </row>
    <row r="75" spans="1:25" x14ac:dyDescent="0.25">
      <c r="A75" s="4"/>
      <c r="B75" s="4" t="s">
        <v>73</v>
      </c>
      <c r="C75" s="216">
        <v>7764.8300000000008</v>
      </c>
      <c r="D75" s="4">
        <v>5864.369999999999</v>
      </c>
      <c r="E75" s="4">
        <v>1900.4599999999996</v>
      </c>
      <c r="F75" s="4">
        <v>880.2</v>
      </c>
      <c r="G75" s="4"/>
      <c r="H75" s="4"/>
      <c r="I75" s="4">
        <v>10.047945205479452</v>
      </c>
      <c r="J75" s="4">
        <v>26.38</v>
      </c>
      <c r="K75" s="4">
        <v>0.3011415525114155</v>
      </c>
      <c r="L75" s="4">
        <v>88.59</v>
      </c>
      <c r="M75" s="4">
        <v>1.0113013698630138</v>
      </c>
      <c r="N75" s="4">
        <v>0</v>
      </c>
      <c r="O75" s="4">
        <v>90.341780821917823</v>
      </c>
      <c r="P75" s="4">
        <v>90.341780821917823</v>
      </c>
      <c r="Q75" s="4">
        <v>13.050498400935867</v>
      </c>
      <c r="R75" s="4">
        <v>64.366038812785391</v>
      </c>
      <c r="S75" s="4">
        <v>0</v>
      </c>
      <c r="T75" s="4">
        <v>112769.29999999999</v>
      </c>
      <c r="U75" s="4">
        <v>20</v>
      </c>
    </row>
    <row r="76" spans="1:25" x14ac:dyDescent="0.25">
      <c r="A76" s="4"/>
      <c r="B76" s="4" t="s">
        <v>92</v>
      </c>
      <c r="C76" s="219">
        <f>SUM(C62:C75)</f>
        <v>107422.26</v>
      </c>
      <c r="D76" s="219">
        <f t="shared" ref="D76:F76" si="25">SUM(D62:D75)</f>
        <v>81480.209999999977</v>
      </c>
      <c r="E76" s="219">
        <f t="shared" si="25"/>
        <v>25942.05000000001</v>
      </c>
      <c r="F76" s="219">
        <f t="shared" si="25"/>
        <v>13367.449999999997</v>
      </c>
      <c r="G76" s="220"/>
      <c r="H76" s="220"/>
      <c r="I76" s="220">
        <v>11.067826685468708</v>
      </c>
      <c r="J76" s="220">
        <v>1101.75</v>
      </c>
      <c r="K76" s="220">
        <v>0.92035488853075487</v>
      </c>
      <c r="L76" s="220">
        <v>748.54000000000008</v>
      </c>
      <c r="M76" s="220">
        <v>0.59740632554391626</v>
      </c>
      <c r="N76" s="220">
        <v>0</v>
      </c>
      <c r="O76" s="220">
        <v>90.432960650013413</v>
      </c>
      <c r="P76" s="220">
        <v>90.432960650013413</v>
      </c>
      <c r="Q76" s="220">
        <v>12.924374516609372</v>
      </c>
      <c r="R76" s="220">
        <v>62.061843842331449</v>
      </c>
      <c r="S76" s="220">
        <v>0</v>
      </c>
      <c r="T76" s="220">
        <v>1848449.9570000002</v>
      </c>
      <c r="U76" s="220">
        <v>340</v>
      </c>
    </row>
    <row r="77" spans="1:25" x14ac:dyDescent="0.25">
      <c r="Y77" s="1" t="s">
        <v>26</v>
      </c>
    </row>
    <row r="78" spans="1:25" x14ac:dyDescent="0.25">
      <c r="C78" s="73">
        <f>SUM(C76,C61,C56,C53,C49,C46,C43,C40,C37,C34,C30)+C19</f>
        <v>335679.99</v>
      </c>
      <c r="G78" s="73">
        <f>SUM(G56,G30,G15,G12,G9)</f>
        <v>19470.330000000002</v>
      </c>
      <c r="H78" s="73">
        <f>SUM(H76,H61,H56,H53,H49,H46,H43,H40,H37,H34,H30)</f>
        <v>11502.429999999998</v>
      </c>
    </row>
  </sheetData>
  <pageMargins left="0.7" right="0.7" top="0.75" bottom="0.75" header="0.3" footer="0.3"/>
  <ignoredErrors>
    <ignoredError sqref="C9:D12 C15:D15 H9: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56202C57E8A91488ECE962D63A71F10" ma:contentTypeVersion="29" ma:contentTypeDescription="Create a new document." ma:contentTypeScope="" ma:versionID="4a45e20ba65ba34a05040a06ba1b5352">
  <xsd:schema xmlns:xsd="http://www.w3.org/2001/XMLSchema" xmlns:xs="http://www.w3.org/2001/XMLSchema" xmlns:p="http://schemas.microsoft.com/office/2006/metadata/properties" xmlns:ns1="http://schemas.microsoft.com/sharepoint/v3" xmlns:ns2="6bd9865d-c7d0-4288-ab0a-9d4dee1c94e8" xmlns:ns3="80985e37-4d14-49b1-85af-18f353798ba1" targetNamespace="http://schemas.microsoft.com/office/2006/metadata/properties" ma:root="true" ma:fieldsID="0dd8f3e94829940a5b116be075303323" ns1:_="" ns2:_="" ns3:_="">
    <xsd:import namespace="http://schemas.microsoft.com/sharepoint/v3"/>
    <xsd:import namespace="6bd9865d-c7d0-4288-ab0a-9d4dee1c94e8"/>
    <xsd:import namespace="80985e37-4d14-49b1-85af-18f353798ba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9865d-c7d0-4288-ab0a-9d4dee1c94e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ObjectDetectorVersions" ma:index="6" nillable="true" ma:displayName="MediaServiceObjectDetectorVersions" ma:hidden="true" ma:indexed="true" ma:internalName="MediaServiceObjectDetectorVersions" ma:readOnly="true">
      <xsd:simpleType>
        <xsd:restriction base="dms:Text"/>
      </xsd:simpleType>
    </xsd:element>
    <xsd:element name="MediaServiceDateTaken" ma:index="7" nillable="true" ma:displayName="MediaServiceDateTaken" ma:hidden="true" ma:indexed="true" ma:internalName="MediaServiceDateTaken" ma:readOnly="true">
      <xsd:simpleType>
        <xsd:restriction base="dms:Text"/>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976c244-545e-4324-b4dc-13be35ff8a8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985e37-4d14-49b1-85af-18f353798ba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62fb7af-ab7b-4979-9173-9249d02dd850}" ma:internalName="TaxCatchAll" ma:showField="CatchAllData" ma:web="80985e37-4d14-49b1-85af-18f353798b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bd9865d-c7d0-4288-ab0a-9d4dee1c94e8">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80985e37-4d14-49b1-85af-18f353798ba1" xsi:nil="true"/>
  </documentManagement>
</p:properties>
</file>

<file path=customXml/itemProps1.xml><?xml version="1.0" encoding="utf-8"?>
<ds:datastoreItem xmlns:ds="http://schemas.openxmlformats.org/officeDocument/2006/customXml" ds:itemID="{1A6AEC45-3C75-40D8-AD43-1EDFE21BDEB6}">
  <ds:schemaRefs>
    <ds:schemaRef ds:uri="http://schemas.microsoft.com/sharepoint/v3/contenttype/forms"/>
  </ds:schemaRefs>
</ds:datastoreItem>
</file>

<file path=customXml/itemProps2.xml><?xml version="1.0" encoding="utf-8"?>
<ds:datastoreItem xmlns:ds="http://schemas.openxmlformats.org/officeDocument/2006/customXml" ds:itemID="{A811D941-8EE1-4B37-87AC-CD8F66CD62FE}"/>
</file>

<file path=customXml/itemProps3.xml><?xml version="1.0" encoding="utf-8"?>
<ds:datastoreItem xmlns:ds="http://schemas.openxmlformats.org/officeDocument/2006/customXml" ds:itemID="{6A581E94-FA58-42AC-92BC-318BB827E3CF}">
  <ds:schemaRefs>
    <ds:schemaRef ds:uri="http://schemas.microsoft.com/office/2006/metadata/properties"/>
    <ds:schemaRef ds:uri="http://schemas.microsoft.com/office/infopath/2007/PartnerControls"/>
    <ds:schemaRef ds:uri="6bd9865d-c7d0-4288-ab0a-9d4dee1c94e8"/>
    <ds:schemaRef ds:uri="http://schemas.microsoft.com/sharepoint/v3"/>
    <ds:schemaRef ds:uri="80985e37-4d14-49b1-85af-18f353798ba1"/>
  </ds:schemaRefs>
</ds:datastoreItem>
</file>

<file path=docMetadata/LabelInfo.xml><?xml version="1.0" encoding="utf-8"?>
<clbl:labelList xmlns:clbl="http://schemas.microsoft.com/office/2020/mipLabelMetadata">
  <clbl:label id="{defa4170-0d19-0005-0004-bc88714345d2}" enabled="1" method="Standard" siteId="{31289701-2511-4b48-b59d-bfc969d3a98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KPI_FY 24-25 (OMC)</vt:lpstr>
      <vt:lpstr>KPI_FY 24-25</vt:lpstr>
      <vt:lpstr>Metrics ACUM</vt:lpstr>
      <vt:lpstr>Metrics ACUM (OMC)</vt:lpstr>
      <vt:lpstr>OMC Hrs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C Rodriguez Velazquez</dc:creator>
  <cp:keywords/>
  <dc:description/>
  <cp:lastModifiedBy>Cristina Ribas Morera</cp:lastModifiedBy>
  <cp:revision/>
  <dcterms:created xsi:type="dcterms:W3CDTF">2025-05-16T18:54:01Z</dcterms:created>
  <dcterms:modified xsi:type="dcterms:W3CDTF">2026-02-05T21:17:03Z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0x010100356202C57E8A91488ECE962D63A71F10</vt:lpwstr>
  </property>
  <property fmtid="{D5CDD505-2E9C-101B-9397-08002B2CF9AE}" pid="3" name="MediaServiceImageTags">
    <vt:lpwstr/>
  </property>
</Properties>
</file>