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uelRosarioMachado\OneDrive - Genera PR\Desktop\Tetra Tech 2022\"/>
    </mc:Choice>
  </mc:AlternateContent>
  <xr:revisionPtr revIDLastSave="0" documentId="8_{03A9D8A0-4790-4B7B-8DD1-8787520452DA}" xr6:coauthVersionLast="47" xr6:coauthVersionMax="47" xr10:uidLastSave="{00000000-0000-0000-0000-000000000000}"/>
  <bookViews>
    <workbookView xWindow="28680" yWindow="-120" windowWidth="29040" windowHeight="15720" tabRatio="653" firstSheet="12" activeTab="18" xr2:uid="{00000000-000D-0000-FFFF-FFFF00000000}"/>
  </bookViews>
  <sheets>
    <sheet name="Costa Sur" sheetId="1" r:id="rId1"/>
    <sheet name="Turbinas CS" sheetId="29" r:id="rId2"/>
    <sheet name="Calculos CS 3 y 4" sheetId="6" r:id="rId3"/>
    <sheet name="CS 5" sheetId="17" r:id="rId4"/>
    <sheet name="CS6" sheetId="18" r:id="rId5"/>
    <sheet name="Tabla JCA CS" sheetId="12" r:id="rId6"/>
    <sheet name="San Juan" sheetId="2" r:id="rId7"/>
    <sheet name="Cálculos SJ" sheetId="7" r:id="rId8"/>
    <sheet name="Cálculos SJ5" sheetId="16" r:id="rId9"/>
    <sheet name="Cálculos SJ6" sheetId="32" r:id="rId10"/>
    <sheet name="Tabla JCA SJ" sheetId="13" r:id="rId11"/>
    <sheet name="Aguirre" sheetId="3" r:id="rId12"/>
    <sheet name="Cálculos AG" sheetId="8" r:id="rId13"/>
    <sheet name="Tabla JCA AG" sheetId="10" r:id="rId14"/>
    <sheet name="Palo Seco" sheetId="4" r:id="rId15"/>
    <sheet name="Cálculos PS" sheetId="9" r:id="rId16"/>
    <sheet name="MPs PS" sheetId="33" r:id="rId17"/>
    <sheet name="Tabla JCA PS" sheetId="14" r:id="rId18"/>
    <sheet name="Turbinas" sheetId="5" r:id="rId19"/>
    <sheet name="Cálculos Cambalache (60%)" sheetId="34" r:id="rId20"/>
    <sheet name="CEMS Cambalache" sheetId="19" r:id="rId21"/>
    <sheet name="Tabla JCA Cambalache" sheetId="35" r:id="rId22"/>
    <sheet name="Cálculos Daguao" sheetId="20" r:id="rId23"/>
    <sheet name="Tabla JCA Daguao" sheetId="21" r:id="rId24"/>
    <sheet name="Cálculos Yabucoa" sheetId="22" r:id="rId25"/>
    <sheet name="Tabla JCA Yabucoa" sheetId="23" r:id="rId26"/>
    <sheet name="Cálculos Vega Baja" sheetId="24" r:id="rId27"/>
    <sheet name="Tabla JCA Vega Baja" sheetId="31" r:id="rId28"/>
    <sheet name="Cálculos Jobos" sheetId="25" r:id="rId29"/>
    <sheet name="Tabla JCA Jobos" sheetId="26" r:id="rId30"/>
    <sheet name="Cálculos Mayagüez" sheetId="27" r:id="rId31"/>
    <sheet name="Tabla JCA Mayagüez" sheetId="28" r:id="rId32"/>
  </sheets>
  <externalReferences>
    <externalReference r:id="rId33"/>
  </externalReferences>
  <definedNames>
    <definedName name="\A">#N/A</definedName>
    <definedName name="\B">#N/A</definedName>
    <definedName name="_xlnm.Print_Area" localSheetId="12">'Cálculos AG'!$A$1:$R$74</definedName>
    <definedName name="_xlnm.Print_Area" localSheetId="19">'Cálculos Cambalache (60%)'!#REF!</definedName>
    <definedName name="_xlnm.Print_Area" localSheetId="2">'Calculos CS 3 y 4'!$A$1:$G$77</definedName>
    <definedName name="_xlnm.Print_Area" localSheetId="22">'Cálculos Daguao'!$A$1:$T$73</definedName>
    <definedName name="_xlnm.Print_Area" localSheetId="28">'Cálculos Jobos'!$A$1:$S$75</definedName>
    <definedName name="_xlnm.Print_Area" localSheetId="30">'Cálculos Mayagüez'!$A$1:$AM$68</definedName>
    <definedName name="_xlnm.Print_Area" localSheetId="15">'Cálculos PS'!$A$1:$Q$74</definedName>
    <definedName name="_xlnm.Print_Area" localSheetId="7">'Cálculos SJ'!$A$1:$K$94</definedName>
    <definedName name="_xlnm.Print_Area" localSheetId="8">'Cálculos SJ5'!$A$1:$S$114</definedName>
    <definedName name="_xlnm.Print_Area" localSheetId="9">'Cálculos SJ6'!$A$1:$S$114</definedName>
    <definedName name="_xlnm.Print_Area" localSheetId="26">'Cálculos Vega Baja'!$A$1:$S$75</definedName>
    <definedName name="_xlnm.Print_Area" localSheetId="24">'Cálculos Yabucoa'!$A$1:$T$64</definedName>
    <definedName name="_xlnm.Print_Area" localSheetId="20">'CEMS Cambalache'!$A$1:$F$22</definedName>
    <definedName name="_xlnm.Print_Area" localSheetId="3">'CS 5'!$A$1:$U$84</definedName>
    <definedName name="_xlnm.Print_Area" localSheetId="4">'CS6'!$A$1:$O$89</definedName>
    <definedName name="_xlnm.Print_Area" localSheetId="17">'Tabla JCA PS'!$A$1:$D$35</definedName>
    <definedName name="_xlnm.Print_Area" localSheetId="1">'Turbinas CS'!$A$1:$J$70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D6" i="1"/>
  <c r="M13" i="34"/>
  <c r="B13" i="34"/>
  <c r="D69" i="34" s="1"/>
  <c r="B73" i="34" s="1"/>
  <c r="E73" i="34" s="1"/>
  <c r="B14" i="34"/>
  <c r="M14" i="34"/>
  <c r="AB16" i="34"/>
  <c r="AC16" i="34"/>
  <c r="B16" i="34" s="1"/>
  <c r="H29" i="34" s="1"/>
  <c r="AD16" i="34"/>
  <c r="M16" i="34" s="1"/>
  <c r="AB34" i="34"/>
  <c r="AC34" i="34"/>
  <c r="B15" i="34" s="1"/>
  <c r="AD34" i="34"/>
  <c r="M15" i="34" s="1"/>
  <c r="D59" i="34" l="1"/>
  <c r="B63" i="34" s="1"/>
  <c r="E63" i="34" s="1"/>
  <c r="D81" i="34"/>
  <c r="B85" i="34" s="1"/>
  <c r="D21" i="34"/>
  <c r="D29" i="34"/>
  <c r="B32" i="34" s="1"/>
  <c r="D42" i="34"/>
  <c r="D50" i="34"/>
  <c r="S21" i="34"/>
  <c r="S42" i="34"/>
  <c r="S50" i="34"/>
  <c r="S29" i="34"/>
  <c r="O42" i="34"/>
  <c r="O50" i="34"/>
  <c r="O21" i="34"/>
  <c r="O29" i="34"/>
  <c r="H21" i="34"/>
  <c r="H50" i="34"/>
  <c r="H42" i="34"/>
  <c r="F32" i="34" l="1"/>
  <c r="E85" i="34"/>
  <c r="D18" i="35"/>
  <c r="M45" i="34"/>
  <c r="Q45" i="34" s="1"/>
  <c r="M24" i="34"/>
  <c r="Q24" i="34" s="1"/>
  <c r="B45" i="34"/>
  <c r="B24" i="34"/>
  <c r="M32" i="34"/>
  <c r="Q32" i="34" s="1"/>
  <c r="B53" i="34"/>
  <c r="M53" i="34"/>
  <c r="Q53" i="34" s="1"/>
  <c r="D13" i="35" l="1"/>
  <c r="F53" i="34"/>
  <c r="D17" i="35"/>
  <c r="F45" i="34"/>
  <c r="D15" i="35"/>
  <c r="F24" i="34"/>
  <c r="D12" i="35"/>
  <c r="D6" i="3"/>
  <c r="E6" i="3"/>
  <c r="F6" i="3" l="1"/>
  <c r="F10" i="3" l="1"/>
  <c r="E16" i="3"/>
  <c r="D16" i="3"/>
  <c r="F16" i="3" s="1"/>
  <c r="E15" i="3"/>
  <c r="D15" i="3"/>
  <c r="F15" i="3" s="1"/>
  <c r="E14" i="3"/>
  <c r="D14" i="3"/>
  <c r="F14" i="3" s="1"/>
  <c r="E13" i="3"/>
  <c r="D13" i="3"/>
  <c r="F13" i="3" s="1"/>
  <c r="E12" i="3"/>
  <c r="D12" i="3"/>
  <c r="F12" i="3" s="1"/>
  <c r="E11" i="3"/>
  <c r="D11" i="3"/>
  <c r="F11" i="3" s="1"/>
  <c r="E10" i="3"/>
  <c r="D10" i="3"/>
  <c r="E9" i="3"/>
  <c r="D9" i="3"/>
  <c r="F9" i="3" s="1"/>
  <c r="E8" i="3"/>
  <c r="D8" i="3"/>
  <c r="F8" i="3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4" i="2"/>
  <c r="D24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G7" i="2"/>
  <c r="H6" i="2"/>
  <c r="G6" i="2"/>
  <c r="F6" i="2"/>
  <c r="V13" i="9" l="1"/>
  <c r="V12" i="8"/>
  <c r="R14" i="7"/>
  <c r="W11" i="18"/>
  <c r="W12" i="17"/>
  <c r="W11" i="17"/>
  <c r="B54" i="1" l="1"/>
  <c r="C54" i="1"/>
  <c r="D54" i="1"/>
  <c r="E54" i="1"/>
  <c r="R74" i="33"/>
  <c r="H74" i="33"/>
  <c r="R68" i="33"/>
  <c r="H68" i="33"/>
  <c r="R56" i="33"/>
  <c r="M56" i="33"/>
  <c r="H56" i="33"/>
  <c r="R50" i="33"/>
  <c r="H50" i="33"/>
  <c r="R44" i="33"/>
  <c r="H44" i="33"/>
  <c r="R38" i="33"/>
  <c r="H38" i="33"/>
  <c r="R32" i="33"/>
  <c r="H32" i="33"/>
  <c r="R26" i="33"/>
  <c r="H26" i="33"/>
  <c r="R20" i="33"/>
  <c r="H20" i="33"/>
  <c r="B13" i="33"/>
  <c r="C11" i="33"/>
  <c r="H62" i="33" s="1"/>
  <c r="B11" i="33"/>
  <c r="R62" i="33" s="1"/>
  <c r="B10" i="33"/>
  <c r="H54" i="4"/>
  <c r="H55" i="4" s="1"/>
  <c r="G54" i="4"/>
  <c r="G55" i="4" s="1"/>
  <c r="F54" i="4"/>
  <c r="F55" i="4" s="1"/>
  <c r="D54" i="4"/>
  <c r="D55" i="4" s="1"/>
  <c r="C54" i="4"/>
  <c r="C55" i="4" s="1"/>
  <c r="B54" i="4"/>
  <c r="B55" i="4" s="1"/>
  <c r="I53" i="4"/>
  <c r="E53" i="4"/>
  <c r="I52" i="4"/>
  <c r="E52" i="4"/>
  <c r="I51" i="4"/>
  <c r="E51" i="4"/>
  <c r="I50" i="4"/>
  <c r="E50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B17" i="33" s="1"/>
  <c r="M68" i="33" s="1"/>
  <c r="E43" i="4"/>
  <c r="B16" i="33" s="1"/>
  <c r="B62" i="33" s="1"/>
  <c r="I42" i="4"/>
  <c r="E42" i="4"/>
  <c r="I54" i="4" l="1"/>
  <c r="I55" i="4" s="1"/>
  <c r="E54" i="4"/>
  <c r="E55" i="4" s="1"/>
  <c r="B56" i="33"/>
  <c r="B59" i="33" s="1"/>
  <c r="F59" i="33" s="1"/>
  <c r="E10" i="33" s="1"/>
  <c r="B26" i="33"/>
  <c r="B44" i="33"/>
  <c r="B68" i="33"/>
  <c r="B71" i="33" s="1"/>
  <c r="B32" i="33"/>
  <c r="B35" i="33" s="1"/>
  <c r="B50" i="33"/>
  <c r="B20" i="33"/>
  <c r="B74" i="33"/>
  <c r="M32" i="33"/>
  <c r="M38" i="33"/>
  <c r="M62" i="33"/>
  <c r="B65" i="33" s="1"/>
  <c r="M26" i="33"/>
  <c r="B29" i="33" s="1"/>
  <c r="M50" i="33"/>
  <c r="M20" i="33"/>
  <c r="B38" i="33"/>
  <c r="M44" i="33"/>
  <c r="B47" i="33" l="1"/>
  <c r="F47" i="33" s="1"/>
  <c r="E8" i="33" s="1"/>
  <c r="D10" i="33"/>
  <c r="B53" i="33"/>
  <c r="F53" i="33" s="1"/>
  <c r="E9" i="33" s="1"/>
  <c r="D12" i="33"/>
  <c r="F71" i="33"/>
  <c r="E12" i="33" s="1"/>
  <c r="B41" i="33"/>
  <c r="D7" i="33" s="1"/>
  <c r="B23" i="33"/>
  <c r="M74" i="33" s="1"/>
  <c r="B77" i="33" s="1"/>
  <c r="F29" i="33"/>
  <c r="E5" i="33" s="1"/>
  <c r="D5" i="33"/>
  <c r="F65" i="33"/>
  <c r="E11" i="33" s="1"/>
  <c r="D11" i="33"/>
  <c r="F35" i="33"/>
  <c r="E6" i="33" s="1"/>
  <c r="D6" i="33"/>
  <c r="D8" i="33" l="1"/>
  <c r="D4" i="33"/>
  <c r="F23" i="33"/>
  <c r="E4" i="33" s="1"/>
  <c r="F41" i="33"/>
  <c r="E7" i="33" s="1"/>
  <c r="D9" i="33"/>
  <c r="F77" i="33"/>
  <c r="E13" i="33" s="1"/>
  <c r="D13" i="33"/>
  <c r="AF13" i="27" l="1"/>
  <c r="AF12" i="27"/>
  <c r="V13" i="27"/>
  <c r="V12" i="27"/>
  <c r="L13" i="27"/>
  <c r="L12" i="27"/>
  <c r="B13" i="27"/>
  <c r="L14" i="25"/>
  <c r="B14" i="25"/>
  <c r="L14" i="24"/>
  <c r="B14" i="24"/>
  <c r="L14" i="22"/>
  <c r="B14" i="22"/>
  <c r="L14" i="20"/>
  <c r="B14" i="20"/>
  <c r="B12" i="27"/>
  <c r="L13" i="25"/>
  <c r="B13" i="25"/>
  <c r="L13" i="24"/>
  <c r="B13" i="24"/>
  <c r="L13" i="22"/>
  <c r="B13" i="22"/>
  <c r="L13" i="20"/>
  <c r="B13" i="20"/>
  <c r="J13" i="9"/>
  <c r="J12" i="9"/>
  <c r="B13" i="9"/>
  <c r="B12" i="9"/>
  <c r="K13" i="8"/>
  <c r="K12" i="8"/>
  <c r="B13" i="8"/>
  <c r="B18" i="32"/>
  <c r="B17" i="32"/>
  <c r="M74" i="32" s="1"/>
  <c r="B16" i="32"/>
  <c r="B74" i="32" s="1"/>
  <c r="B18" i="16"/>
  <c r="B17" i="16"/>
  <c r="M74" i="16" s="1"/>
  <c r="B16" i="16"/>
  <c r="B74" i="16" s="1"/>
  <c r="B18" i="7"/>
  <c r="B17" i="7"/>
  <c r="B16" i="7"/>
  <c r="B18" i="18"/>
  <c r="B17" i="18"/>
  <c r="B16" i="18"/>
  <c r="B18" i="17"/>
  <c r="B17" i="17"/>
  <c r="B16" i="17"/>
  <c r="C14" i="29"/>
  <c r="C13" i="29"/>
  <c r="AF72" i="27"/>
  <c r="V72" i="27"/>
  <c r="L72" i="27"/>
  <c r="B72" i="27"/>
  <c r="AO13" i="27"/>
  <c r="V14" i="25"/>
  <c r="L79" i="25" s="1"/>
  <c r="V14" i="24"/>
  <c r="L79" i="24" s="1"/>
  <c r="V14" i="22"/>
  <c r="L68" i="22" s="1"/>
  <c r="V14" i="20"/>
  <c r="L77" i="20" s="1"/>
  <c r="B78" i="9"/>
  <c r="V14" i="9"/>
  <c r="K78" i="9" s="1"/>
  <c r="K78" i="8"/>
  <c r="V13" i="8"/>
  <c r="B78" i="8"/>
  <c r="O74" i="32"/>
  <c r="E74" i="32"/>
  <c r="O74" i="16"/>
  <c r="E74" i="16"/>
  <c r="W12" i="32"/>
  <c r="W11" i="32"/>
  <c r="W12" i="16"/>
  <c r="W11" i="16"/>
  <c r="B98" i="7"/>
  <c r="C73" i="29"/>
  <c r="R12" i="29"/>
  <c r="W12" i="18"/>
  <c r="O74" i="18" s="1"/>
  <c r="E74" i="18"/>
  <c r="O74" i="17"/>
  <c r="E74" i="17"/>
  <c r="B77" i="32" l="1"/>
  <c r="F77" i="32" s="1"/>
  <c r="B77" i="16"/>
  <c r="D13" i="16" s="1"/>
  <c r="B79" i="25"/>
  <c r="B79" i="24"/>
  <c r="B77" i="20"/>
  <c r="B68" i="22"/>
  <c r="F77" i="16" l="1"/>
  <c r="E13" i="16" s="1"/>
  <c r="M78" i="8"/>
  <c r="K82" i="8" s="1"/>
  <c r="I17" i="4" l="1"/>
  <c r="H17" i="4"/>
  <c r="AF34" i="27"/>
  <c r="V34" i="27"/>
  <c r="L34" i="27"/>
  <c r="B34" i="27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6" i="19"/>
  <c r="C6" i="19"/>
  <c r="D38" i="9"/>
  <c r="B42" i="9" s="1"/>
  <c r="B28" i="8"/>
  <c r="R68" i="32"/>
  <c r="H68" i="32"/>
  <c r="R62" i="32"/>
  <c r="H62" i="32"/>
  <c r="R56" i="32"/>
  <c r="H56" i="32"/>
  <c r="R50" i="32"/>
  <c r="H50" i="32"/>
  <c r="R44" i="32"/>
  <c r="H44" i="32"/>
  <c r="R38" i="32"/>
  <c r="H38" i="32"/>
  <c r="R32" i="32"/>
  <c r="H32" i="32"/>
  <c r="R26" i="32"/>
  <c r="H26" i="32"/>
  <c r="R20" i="32"/>
  <c r="H20" i="32"/>
  <c r="B28" i="9" l="1"/>
  <c r="B56" i="32"/>
  <c r="M20" i="32"/>
  <c r="M32" i="32"/>
  <c r="M62" i="32"/>
  <c r="M56" i="32"/>
  <c r="B26" i="32"/>
  <c r="B50" i="32"/>
  <c r="B20" i="32"/>
  <c r="M26" i="32"/>
  <c r="B44" i="32"/>
  <c r="M50" i="32"/>
  <c r="B68" i="32"/>
  <c r="M68" i="32"/>
  <c r="B38" i="32"/>
  <c r="M44" i="32"/>
  <c r="B62" i="32"/>
  <c r="B65" i="32" s="1"/>
  <c r="B32" i="32"/>
  <c r="M38" i="32"/>
  <c r="B23" i="32" l="1"/>
  <c r="D4" i="32" s="1"/>
  <c r="B35" i="32"/>
  <c r="D6" i="32" s="1"/>
  <c r="B59" i="32"/>
  <c r="F59" i="32" s="1"/>
  <c r="E10" i="32" s="1"/>
  <c r="B71" i="32"/>
  <c r="F71" i="32" s="1"/>
  <c r="E12" i="32" s="1"/>
  <c r="B47" i="32"/>
  <c r="D8" i="32" s="1"/>
  <c r="B53" i="32"/>
  <c r="D11" i="32"/>
  <c r="F65" i="32"/>
  <c r="E11" i="32" s="1"/>
  <c r="B29" i="32"/>
  <c r="B41" i="32"/>
  <c r="F23" i="32" l="1"/>
  <c r="E4" i="32" s="1"/>
  <c r="F35" i="32"/>
  <c r="E6" i="32" s="1"/>
  <c r="D10" i="32"/>
  <c r="F47" i="32"/>
  <c r="E8" i="32" s="1"/>
  <c r="E13" i="32"/>
  <c r="D13" i="32"/>
  <c r="D12" i="32"/>
  <c r="F29" i="32"/>
  <c r="E5" i="32" s="1"/>
  <c r="D5" i="32"/>
  <c r="F53" i="32"/>
  <c r="E9" i="32" s="1"/>
  <c r="D9" i="32"/>
  <c r="D7" i="32"/>
  <c r="F41" i="32"/>
  <c r="E7" i="32" s="1"/>
  <c r="H56" i="16" l="1"/>
  <c r="R68" i="16"/>
  <c r="M68" i="16"/>
  <c r="H68" i="16"/>
  <c r="R62" i="16"/>
  <c r="M62" i="16"/>
  <c r="H62" i="16"/>
  <c r="B62" i="16"/>
  <c r="R56" i="16"/>
  <c r="B56" i="16"/>
  <c r="R50" i="16"/>
  <c r="M50" i="16"/>
  <c r="H50" i="16"/>
  <c r="R44" i="16"/>
  <c r="M44" i="16"/>
  <c r="H44" i="16"/>
  <c r="R38" i="16"/>
  <c r="M38" i="16"/>
  <c r="H38" i="16"/>
  <c r="B38" i="16"/>
  <c r="R32" i="16"/>
  <c r="H32" i="16"/>
  <c r="B32" i="16"/>
  <c r="R26" i="16"/>
  <c r="M26" i="16"/>
  <c r="H26" i="16"/>
  <c r="R20" i="16"/>
  <c r="M20" i="16"/>
  <c r="H20" i="16"/>
  <c r="M56" i="16"/>
  <c r="B68" i="16"/>
  <c r="D23" i="7"/>
  <c r="D31" i="7" s="1"/>
  <c r="D40" i="7" s="1"/>
  <c r="D48" i="7" s="1"/>
  <c r="D73" i="7" s="1"/>
  <c r="D81" i="7" s="1"/>
  <c r="D89" i="7" s="1"/>
  <c r="D98" i="7" s="1"/>
  <c r="B101" i="7" s="1"/>
  <c r="D20" i="13" s="1"/>
  <c r="D65" i="7"/>
  <c r="B68" i="7" s="1"/>
  <c r="B48" i="7"/>
  <c r="H56" i="18"/>
  <c r="M74" i="18"/>
  <c r="R68" i="18"/>
  <c r="H68" i="18"/>
  <c r="R62" i="18"/>
  <c r="H62" i="18"/>
  <c r="R56" i="18"/>
  <c r="R50" i="18"/>
  <c r="H50" i="18"/>
  <c r="R44" i="18"/>
  <c r="H44" i="18"/>
  <c r="R38" i="18"/>
  <c r="H38" i="18"/>
  <c r="R32" i="18"/>
  <c r="H32" i="18"/>
  <c r="R26" i="18"/>
  <c r="H26" i="18"/>
  <c r="R20" i="18"/>
  <c r="H20" i="18"/>
  <c r="M62" i="18"/>
  <c r="R68" i="17"/>
  <c r="H68" i="17"/>
  <c r="R62" i="17"/>
  <c r="H62" i="17"/>
  <c r="R56" i="17"/>
  <c r="H56" i="17"/>
  <c r="R50" i="17"/>
  <c r="H50" i="17"/>
  <c r="R44" i="17"/>
  <c r="H44" i="17"/>
  <c r="R38" i="17"/>
  <c r="H38" i="17"/>
  <c r="H32" i="17"/>
  <c r="R32" i="17"/>
  <c r="H26" i="17"/>
  <c r="H20" i="17"/>
  <c r="R26" i="17"/>
  <c r="B71" i="16" l="1"/>
  <c r="D12" i="16" s="1"/>
  <c r="B51" i="7"/>
  <c r="B56" i="18"/>
  <c r="B74" i="18"/>
  <c r="B77" i="18" s="1"/>
  <c r="B65" i="16"/>
  <c r="D11" i="16" s="1"/>
  <c r="B41" i="16"/>
  <c r="F41" i="16" s="1"/>
  <c r="E7" i="16" s="1"/>
  <c r="B59" i="16"/>
  <c r="B26" i="16"/>
  <c r="B29" i="16" s="1"/>
  <c r="M32" i="16"/>
  <c r="B35" i="16" s="1"/>
  <c r="B50" i="16"/>
  <c r="B53" i="16" s="1"/>
  <c r="B20" i="16"/>
  <c r="B23" i="16" s="1"/>
  <c r="B44" i="16"/>
  <c r="B47" i="16" s="1"/>
  <c r="B20" i="18"/>
  <c r="M26" i="18"/>
  <c r="B44" i="18"/>
  <c r="M50" i="18"/>
  <c r="B68" i="18"/>
  <c r="B26" i="18"/>
  <c r="M32" i="18"/>
  <c r="B50" i="18"/>
  <c r="M20" i="18"/>
  <c r="B38" i="18"/>
  <c r="M44" i="18"/>
  <c r="B62" i="18"/>
  <c r="B65" i="18" s="1"/>
  <c r="M68" i="18"/>
  <c r="M56" i="18"/>
  <c r="B32" i="18"/>
  <c r="M38" i="18"/>
  <c r="M74" i="17"/>
  <c r="B74" i="17"/>
  <c r="R20" i="17"/>
  <c r="D7" i="16" l="1"/>
  <c r="F71" i="16"/>
  <c r="E12" i="16" s="1"/>
  <c r="B59" i="18"/>
  <c r="F59" i="18" s="1"/>
  <c r="E10" i="18" s="1"/>
  <c r="B35" i="18"/>
  <c r="D6" i="18" s="1"/>
  <c r="B77" i="17"/>
  <c r="D13" i="17" s="1"/>
  <c r="F77" i="18"/>
  <c r="E13" i="18" s="1"/>
  <c r="D13" i="18"/>
  <c r="D15" i="13"/>
  <c r="B41" i="18"/>
  <c r="D7" i="18" s="1"/>
  <c r="F65" i="16"/>
  <c r="E11" i="16" s="1"/>
  <c r="F59" i="16"/>
  <c r="E10" i="16" s="1"/>
  <c r="D10" i="16"/>
  <c r="F35" i="16"/>
  <c r="E6" i="16" s="1"/>
  <c r="D6" i="16"/>
  <c r="F47" i="16"/>
  <c r="E8" i="16" s="1"/>
  <c r="D8" i="16"/>
  <c r="D4" i="16"/>
  <c r="F23" i="16"/>
  <c r="E4" i="16" s="1"/>
  <c r="D9" i="16"/>
  <c r="F53" i="16"/>
  <c r="E9" i="16" s="1"/>
  <c r="F29" i="16"/>
  <c r="E5" i="16" s="1"/>
  <c r="D5" i="16"/>
  <c r="B29" i="18"/>
  <c r="F29" i="18" s="1"/>
  <c r="E5" i="18" s="1"/>
  <c r="B71" i="18"/>
  <c r="D12" i="18" s="1"/>
  <c r="B47" i="18"/>
  <c r="B23" i="18"/>
  <c r="D11" i="18"/>
  <c r="F65" i="18"/>
  <c r="E11" i="18" s="1"/>
  <c r="B53" i="18"/>
  <c r="J36" i="5"/>
  <c r="J37" i="5" s="1"/>
  <c r="F41" i="18" l="1"/>
  <c r="E7" i="18" s="1"/>
  <c r="D10" i="18"/>
  <c r="F35" i="18"/>
  <c r="E6" i="18" s="1"/>
  <c r="D5" i="18"/>
  <c r="F71" i="18"/>
  <c r="E12" i="18" s="1"/>
  <c r="F53" i="18"/>
  <c r="E9" i="18" s="1"/>
  <c r="D9" i="18"/>
  <c r="D4" i="18"/>
  <c r="F23" i="18"/>
  <c r="E4" i="18" s="1"/>
  <c r="D8" i="18"/>
  <c r="F47" i="18"/>
  <c r="E8" i="18" s="1"/>
  <c r="E35" i="4"/>
  <c r="E36" i="4" s="1"/>
  <c r="D35" i="4"/>
  <c r="C35" i="4"/>
  <c r="C17" i="1"/>
  <c r="B17" i="1"/>
  <c r="C36" i="1"/>
  <c r="B36" i="1"/>
  <c r="A34" i="4" l="1"/>
  <c r="A53" i="4" s="1"/>
  <c r="A33" i="4"/>
  <c r="A52" i="4" s="1"/>
  <c r="A32" i="4"/>
  <c r="A51" i="4" s="1"/>
  <c r="A31" i="4"/>
  <c r="A50" i="4" s="1"/>
  <c r="A30" i="4"/>
  <c r="A49" i="4" s="1"/>
  <c r="A29" i="4"/>
  <c r="A48" i="4" s="1"/>
  <c r="A28" i="4"/>
  <c r="A47" i="4" s="1"/>
  <c r="A27" i="4"/>
  <c r="A46" i="4" s="1"/>
  <c r="A26" i="4"/>
  <c r="A45" i="4" s="1"/>
  <c r="A25" i="4"/>
  <c r="A44" i="4" s="1"/>
  <c r="A24" i="4"/>
  <c r="A43" i="4" s="1"/>
  <c r="A23" i="4"/>
  <c r="A42" i="4" s="1"/>
  <c r="M34" i="2"/>
  <c r="M33" i="2"/>
  <c r="M32" i="2"/>
  <c r="M31" i="2"/>
  <c r="M30" i="2"/>
  <c r="M29" i="2"/>
  <c r="M28" i="2"/>
  <c r="M27" i="2"/>
  <c r="M26" i="2"/>
  <c r="M25" i="2"/>
  <c r="M24" i="2"/>
  <c r="M23" i="2"/>
  <c r="Q35" i="2"/>
  <c r="P35" i="2"/>
  <c r="O35" i="2"/>
  <c r="N35" i="2"/>
  <c r="W18" i="5" l="1"/>
  <c r="AF18" i="5"/>
  <c r="AE18" i="5"/>
  <c r="N35" i="4" l="1"/>
  <c r="F35" i="4"/>
  <c r="G35" i="4"/>
  <c r="I35" i="4"/>
  <c r="C17" i="4"/>
  <c r="C18" i="4" s="1"/>
  <c r="E17" i="4"/>
  <c r="E18" i="4" s="1"/>
  <c r="G17" i="4"/>
  <c r="F17" i="4"/>
  <c r="A44" i="3"/>
  <c r="A48" i="3"/>
  <c r="A51" i="3"/>
  <c r="A52" i="3"/>
  <c r="A46" i="3"/>
  <c r="K17" i="2"/>
  <c r="A50" i="3" l="1"/>
  <c r="A42" i="3"/>
  <c r="A45" i="3"/>
  <c r="A41" i="3"/>
  <c r="A47" i="3"/>
  <c r="A43" i="3"/>
  <c r="A49" i="3"/>
  <c r="M12" i="19"/>
  <c r="M11" i="19"/>
  <c r="M10" i="19"/>
  <c r="M9" i="19"/>
  <c r="M13" i="19"/>
  <c r="O18" i="19"/>
  <c r="N18" i="19"/>
  <c r="L18" i="19"/>
  <c r="K18" i="19"/>
  <c r="L35" i="4" l="1"/>
  <c r="E17" i="2" l="1"/>
  <c r="J17" i="2"/>
  <c r="M17" i="2"/>
  <c r="L17" i="2"/>
  <c r="G17" i="1" l="1"/>
  <c r="F17" i="1"/>
  <c r="M35" i="4" l="1"/>
  <c r="K39" i="4" s="1"/>
  <c r="D17" i="1" l="1"/>
  <c r="H35" i="3"/>
  <c r="C17" i="3"/>
  <c r="B17" i="3"/>
  <c r="B17" i="4"/>
  <c r="B18" i="4" s="1"/>
  <c r="D17" i="4"/>
  <c r="D18" i="4" s="1"/>
  <c r="L36" i="5" l="1"/>
  <c r="K36" i="5"/>
  <c r="I36" i="5"/>
  <c r="I37" i="5" s="1"/>
  <c r="B36" i="5"/>
  <c r="B37" i="5" s="1"/>
  <c r="C36" i="5"/>
  <c r="C37" i="5" s="1"/>
  <c r="D36" i="5"/>
  <c r="D37" i="5" s="1"/>
  <c r="E36" i="5"/>
  <c r="E37" i="5" s="1"/>
  <c r="N18" i="5"/>
  <c r="N19" i="5" s="1"/>
  <c r="O18" i="5"/>
  <c r="O19" i="5" s="1"/>
  <c r="K18" i="5"/>
  <c r="K19" i="5" s="1"/>
  <c r="J18" i="5"/>
  <c r="J19" i="5" s="1"/>
  <c r="B18" i="5"/>
  <c r="B19" i="5" s="1"/>
  <c r="C18" i="5"/>
  <c r="C19" i="5" s="1"/>
  <c r="F18" i="5"/>
  <c r="F19" i="5" s="1"/>
  <c r="G18" i="5"/>
  <c r="G19" i="5" s="1"/>
  <c r="AD18" i="5"/>
  <c r="AC18" i="5"/>
  <c r="AB18" i="5"/>
  <c r="AA18" i="5"/>
  <c r="Z18" i="5"/>
  <c r="Y18" i="5"/>
  <c r="X18" i="5"/>
  <c r="V18" i="5"/>
  <c r="U18" i="5"/>
  <c r="B35" i="4" l="1"/>
  <c r="B36" i="4" s="1"/>
  <c r="C36" i="4"/>
  <c r="H35" i="4"/>
  <c r="K35" i="4"/>
  <c r="C53" i="3"/>
  <c r="B53" i="3"/>
  <c r="E53" i="3"/>
  <c r="D53" i="3"/>
  <c r="J36" i="3"/>
  <c r="B35" i="3"/>
  <c r="C35" i="3"/>
  <c r="D35" i="3"/>
  <c r="E36" i="3"/>
  <c r="E35" i="3"/>
  <c r="F35" i="3"/>
  <c r="I35" i="3"/>
  <c r="J35" i="3"/>
  <c r="R35" i="3"/>
  <c r="Q35" i="3"/>
  <c r="O35" i="3"/>
  <c r="N35" i="3"/>
  <c r="M35" i="3"/>
  <c r="L35" i="3"/>
  <c r="K35" i="3"/>
  <c r="I17" i="3" l="1"/>
  <c r="H17" i="3"/>
  <c r="D17" i="2"/>
  <c r="B17" i="2"/>
  <c r="C17" i="2"/>
  <c r="B35" i="2"/>
  <c r="C35" i="2"/>
  <c r="G35" i="2"/>
  <c r="F35" i="2"/>
  <c r="I35" i="2"/>
  <c r="H35" i="2"/>
  <c r="H36" i="5" l="1"/>
  <c r="H37" i="5" s="1"/>
  <c r="D36" i="4"/>
  <c r="I18" i="4"/>
  <c r="H18" i="4"/>
  <c r="G18" i="4"/>
  <c r="F18" i="4"/>
  <c r="K55" i="3"/>
  <c r="Y32" i="3"/>
  <c r="X34" i="3"/>
  <c r="AC34" i="3"/>
  <c r="AB35" i="3"/>
  <c r="AA35" i="3"/>
  <c r="Z35" i="3"/>
  <c r="W35" i="3"/>
  <c r="V35" i="3"/>
  <c r="J55" i="3" l="1"/>
  <c r="K56" i="3" s="1"/>
  <c r="H37" i="3" l="1"/>
  <c r="B37" i="4" l="1"/>
  <c r="P17" i="19" l="1"/>
  <c r="P16" i="19"/>
  <c r="P15" i="19"/>
  <c r="P14" i="19"/>
  <c r="P13" i="19"/>
  <c r="P12" i="19"/>
  <c r="P11" i="19"/>
  <c r="P10" i="19"/>
  <c r="P9" i="19"/>
  <c r="P8" i="19"/>
  <c r="P7" i="19"/>
  <c r="D7" i="19" s="1"/>
  <c r="P6" i="19"/>
  <c r="M7" i="19"/>
  <c r="C7" i="19" s="1"/>
  <c r="M8" i="19"/>
  <c r="M14" i="19"/>
  <c r="M15" i="19"/>
  <c r="M16" i="19"/>
  <c r="M17" i="19"/>
  <c r="M6" i="19"/>
  <c r="D18" i="19" l="1"/>
  <c r="C18" i="19"/>
  <c r="M18" i="19"/>
  <c r="M19" i="19" s="1"/>
  <c r="P18" i="19"/>
  <c r="P19" i="19" s="1"/>
  <c r="N19" i="19"/>
  <c r="L19" i="19"/>
  <c r="O19" i="19"/>
  <c r="K19" i="19"/>
  <c r="K20" i="19" l="1"/>
  <c r="N20" i="19"/>
  <c r="B13" i="6" l="1"/>
  <c r="J20" i="5" l="1"/>
  <c r="K20" i="5"/>
  <c r="G20" i="5"/>
  <c r="F20" i="5"/>
  <c r="K37" i="4"/>
  <c r="L37" i="4"/>
  <c r="C37" i="4"/>
  <c r="D37" i="4"/>
  <c r="E37" i="4"/>
  <c r="H36" i="3"/>
  <c r="I36" i="3"/>
  <c r="C36" i="3"/>
  <c r="D36" i="3"/>
  <c r="F36" i="3"/>
  <c r="B36" i="3"/>
  <c r="AF26" i="27" l="1"/>
  <c r="V26" i="27"/>
  <c r="L28" i="20"/>
  <c r="B28" i="20"/>
  <c r="L26" i="27"/>
  <c r="B26" i="27"/>
  <c r="C28" i="29" l="1"/>
  <c r="L29" i="25" l="1"/>
  <c r="B29" i="25"/>
  <c r="L29" i="24"/>
  <c r="B29" i="24"/>
  <c r="L26" i="22"/>
  <c r="B26" i="22"/>
  <c r="D19" i="19"/>
  <c r="D16" i="35" s="1"/>
  <c r="C19" i="19"/>
  <c r="D14" i="35" s="1"/>
  <c r="J28" i="9" l="1"/>
  <c r="L36" i="4"/>
  <c r="K36" i="4"/>
  <c r="K28" i="8"/>
  <c r="F17" i="2" l="1"/>
  <c r="I17" i="2"/>
  <c r="E17" i="3"/>
  <c r="D17" i="3"/>
  <c r="E35" i="2"/>
  <c r="D35" i="2"/>
  <c r="G17" i="2"/>
  <c r="H17" i="2"/>
  <c r="B12" i="8"/>
  <c r="D78" i="8" s="1"/>
  <c r="B82" i="8" s="1"/>
  <c r="D19" i="10" s="1"/>
  <c r="B27" i="6"/>
  <c r="B18" i="6"/>
  <c r="B18" i="8"/>
  <c r="B18" i="9"/>
  <c r="M38" i="17"/>
  <c r="L38" i="9" l="1"/>
  <c r="J42" i="9" s="1"/>
  <c r="F18" i="3"/>
  <c r="M28" i="8"/>
  <c r="K32" i="8" s="1"/>
  <c r="B55" i="3"/>
  <c r="H55" i="3" s="1"/>
  <c r="F17" i="3"/>
  <c r="D28" i="8" s="1"/>
  <c r="B32" i="8" s="1"/>
  <c r="E19" i="29"/>
  <c r="H38" i="4"/>
  <c r="D58" i="9"/>
  <c r="B62" i="9" s="1"/>
  <c r="B76" i="7"/>
  <c r="D18" i="13" s="1"/>
  <c r="D42" i="27"/>
  <c r="B45" i="27" s="1"/>
  <c r="D55" i="27"/>
  <c r="B58" i="27" s="1"/>
  <c r="D18" i="27"/>
  <c r="B21" i="27" s="1"/>
  <c r="D26" i="27"/>
  <c r="B29" i="27" s="1"/>
  <c r="D63" i="27"/>
  <c r="D34" i="27"/>
  <c r="B37" i="27" s="1"/>
  <c r="N63" i="27"/>
  <c r="N55" i="27"/>
  <c r="L58" i="27" s="1"/>
  <c r="P58" i="27" s="1"/>
  <c r="N18" i="27"/>
  <c r="L21" i="27" s="1"/>
  <c r="P21" i="27" s="1"/>
  <c r="N34" i="27"/>
  <c r="L37" i="27" s="1"/>
  <c r="P37" i="27" s="1"/>
  <c r="N42" i="27"/>
  <c r="L45" i="27" s="1"/>
  <c r="P45" i="27" s="1"/>
  <c r="N26" i="27"/>
  <c r="L29" i="27" s="1"/>
  <c r="P29" i="27" s="1"/>
  <c r="X26" i="27"/>
  <c r="V29" i="27" s="1"/>
  <c r="Z29" i="27" s="1"/>
  <c r="X63" i="27"/>
  <c r="X18" i="27"/>
  <c r="V21" i="27" s="1"/>
  <c r="Z21" i="27" s="1"/>
  <c r="X55" i="27"/>
  <c r="V58" i="27" s="1"/>
  <c r="Z58" i="27" s="1"/>
  <c r="X42" i="27"/>
  <c r="V45" i="27" s="1"/>
  <c r="Z45" i="27" s="1"/>
  <c r="X34" i="27"/>
  <c r="V37" i="27" s="1"/>
  <c r="Z37" i="27" s="1"/>
  <c r="AH42" i="27"/>
  <c r="AF45" i="27" s="1"/>
  <c r="AJ45" i="27" s="1"/>
  <c r="AH26" i="27"/>
  <c r="AH18" i="27"/>
  <c r="AF21" i="27" s="1"/>
  <c r="AJ21" i="27" s="1"/>
  <c r="AH55" i="27"/>
  <c r="AF58" i="27" s="1"/>
  <c r="AJ58" i="27" s="1"/>
  <c r="AH34" i="27"/>
  <c r="AF37" i="27" s="1"/>
  <c r="AJ37" i="27" s="1"/>
  <c r="AH63" i="27"/>
  <c r="D49" i="25"/>
  <c r="B53" i="25" s="1"/>
  <c r="D59" i="25"/>
  <c r="B63" i="25" s="1"/>
  <c r="D29" i="25"/>
  <c r="B33" i="25" s="1"/>
  <c r="D69" i="25"/>
  <c r="D19" i="25"/>
  <c r="B23" i="25" s="1"/>
  <c r="D39" i="25"/>
  <c r="B43" i="25" s="1"/>
  <c r="N69" i="25"/>
  <c r="N49" i="25"/>
  <c r="L53" i="25" s="1"/>
  <c r="O53" i="25" s="1"/>
  <c r="N29" i="25"/>
  <c r="L33" i="25" s="1"/>
  <c r="O33" i="25" s="1"/>
  <c r="N19" i="25"/>
  <c r="L23" i="25" s="1"/>
  <c r="O23" i="25" s="1"/>
  <c r="N59" i="25"/>
  <c r="L63" i="25" s="1"/>
  <c r="O63" i="25" s="1"/>
  <c r="N39" i="25"/>
  <c r="L43" i="25" s="1"/>
  <c r="O43" i="25" s="1"/>
  <c r="D43" i="22"/>
  <c r="B46" i="22" s="1"/>
  <c r="D18" i="22"/>
  <c r="B21" i="22" s="1"/>
  <c r="D26" i="22"/>
  <c r="B29" i="22" s="1"/>
  <c r="D35" i="22"/>
  <c r="B38" i="22" s="1"/>
  <c r="D59" i="22"/>
  <c r="D51" i="22"/>
  <c r="B54" i="22" s="1"/>
  <c r="N59" i="22"/>
  <c r="N18" i="22"/>
  <c r="L21" i="22" s="1"/>
  <c r="O21" i="22" s="1"/>
  <c r="N26" i="22"/>
  <c r="L29" i="22" s="1"/>
  <c r="O29" i="22" s="1"/>
  <c r="N35" i="22"/>
  <c r="L38" i="22" s="1"/>
  <c r="O38" i="22" s="1"/>
  <c r="N43" i="22"/>
  <c r="L46" i="22" s="1"/>
  <c r="O46" i="22" s="1"/>
  <c r="N51" i="22"/>
  <c r="L54" i="22" s="1"/>
  <c r="O54" i="22" s="1"/>
  <c r="D19" i="20"/>
  <c r="B22" i="20" s="1"/>
  <c r="D37" i="20"/>
  <c r="B40" i="20" s="1"/>
  <c r="D59" i="20"/>
  <c r="B62" i="20" s="1"/>
  <c r="D28" i="20"/>
  <c r="D46" i="20"/>
  <c r="B49" i="20" s="1"/>
  <c r="D68" i="20"/>
  <c r="N19" i="20"/>
  <c r="L22" i="20" s="1"/>
  <c r="N46" i="20"/>
  <c r="L49" i="20" s="1"/>
  <c r="N68" i="20"/>
  <c r="N28" i="20"/>
  <c r="L31" i="20" s="1"/>
  <c r="N37" i="20"/>
  <c r="L40" i="20" s="1"/>
  <c r="N59" i="20"/>
  <c r="L62" i="20" s="1"/>
  <c r="D59" i="24"/>
  <c r="B63" i="24" s="1"/>
  <c r="D39" i="24"/>
  <c r="B43" i="24" s="1"/>
  <c r="D19" i="24"/>
  <c r="B23" i="24" s="1"/>
  <c r="D49" i="24"/>
  <c r="B53" i="24" s="1"/>
  <c r="D29" i="24"/>
  <c r="B33" i="24" s="1"/>
  <c r="D69" i="24"/>
  <c r="N49" i="24"/>
  <c r="L53" i="24" s="1"/>
  <c r="P53" i="24" s="1"/>
  <c r="N59" i="24"/>
  <c r="L63" i="24" s="1"/>
  <c r="P63" i="24" s="1"/>
  <c r="N29" i="24"/>
  <c r="L33" i="24" s="1"/>
  <c r="P33" i="24" s="1"/>
  <c r="N39" i="24"/>
  <c r="L43" i="24" s="1"/>
  <c r="P43" i="24" s="1"/>
  <c r="N19" i="24"/>
  <c r="L23" i="24" s="1"/>
  <c r="P23" i="24" s="1"/>
  <c r="N69" i="24"/>
  <c r="M26" i="17"/>
  <c r="M32" i="17"/>
  <c r="M20" i="17"/>
  <c r="M68" i="17"/>
  <c r="M56" i="17"/>
  <c r="M44" i="17"/>
  <c r="M62" i="17"/>
  <c r="M50" i="17"/>
  <c r="F23" i="24" l="1"/>
  <c r="D13" i="31"/>
  <c r="M42" i="9"/>
  <c r="D14" i="14"/>
  <c r="E62" i="9"/>
  <c r="AF66" i="27"/>
  <c r="AJ66" i="27" s="1"/>
  <c r="AH72" i="27"/>
  <c r="AF76" i="27" s="1"/>
  <c r="AI76" i="27" s="1"/>
  <c r="L66" i="27"/>
  <c r="P66" i="27" s="1"/>
  <c r="N72" i="27"/>
  <c r="L76" i="27" s="1"/>
  <c r="O76" i="27" s="1"/>
  <c r="V66" i="27"/>
  <c r="Z66" i="27" s="1"/>
  <c r="X72" i="27"/>
  <c r="V76" i="27" s="1"/>
  <c r="Y76" i="27" s="1"/>
  <c r="B66" i="27"/>
  <c r="F66" i="27" s="1"/>
  <c r="D72" i="27"/>
  <c r="B76" i="27" s="1"/>
  <c r="E37" i="29"/>
  <c r="C41" i="29" s="1"/>
  <c r="F41" i="29" s="1"/>
  <c r="E73" i="29"/>
  <c r="C77" i="29" s="1"/>
  <c r="B73" i="25"/>
  <c r="E73" i="25" s="1"/>
  <c r="D79" i="25"/>
  <c r="B83" i="25" s="1"/>
  <c r="L73" i="25"/>
  <c r="O73" i="25" s="1"/>
  <c r="N79" i="25"/>
  <c r="L83" i="25" s="1"/>
  <c r="O83" i="25" s="1"/>
  <c r="B73" i="24"/>
  <c r="D79" i="24"/>
  <c r="B83" i="24" s="1"/>
  <c r="L73" i="24"/>
  <c r="P73" i="24" s="1"/>
  <c r="N79" i="24"/>
  <c r="L83" i="24" s="1"/>
  <c r="O83" i="24" s="1"/>
  <c r="L62" i="22"/>
  <c r="O62" i="22" s="1"/>
  <c r="N68" i="22"/>
  <c r="L72" i="22" s="1"/>
  <c r="O72" i="22" s="1"/>
  <c r="B62" i="22"/>
  <c r="D68" i="22"/>
  <c r="B72" i="22" s="1"/>
  <c r="L71" i="20"/>
  <c r="N77" i="20"/>
  <c r="L81" i="20" s="1"/>
  <c r="O81" i="20" s="1"/>
  <c r="B71" i="20"/>
  <c r="D77" i="20"/>
  <c r="B81" i="20" s="1"/>
  <c r="AF29" i="27"/>
  <c r="AJ29" i="27" s="1"/>
  <c r="M58" i="8"/>
  <c r="K62" i="8" s="1"/>
  <c r="D68" i="8"/>
  <c r="B72" i="8" s="1"/>
  <c r="D48" i="8"/>
  <c r="B52" i="8" s="1"/>
  <c r="D18" i="8"/>
  <c r="B22" i="8" s="1"/>
  <c r="E55" i="29"/>
  <c r="C59" i="29" s="1"/>
  <c r="F59" i="29" s="1"/>
  <c r="E64" i="29"/>
  <c r="C68" i="29" s="1"/>
  <c r="F68" i="29" s="1"/>
  <c r="L18" i="9"/>
  <c r="J22" i="9" s="1"/>
  <c r="M22" i="9" s="1"/>
  <c r="L28" i="9"/>
  <c r="J32" i="9" s="1"/>
  <c r="M32" i="9" s="1"/>
  <c r="L48" i="9"/>
  <c r="J52" i="9" s="1"/>
  <c r="M52" i="9" s="1"/>
  <c r="L58" i="9"/>
  <c r="J62" i="9" s="1"/>
  <c r="M62" i="9" s="1"/>
  <c r="D38" i="8"/>
  <c r="B42" i="8" s="1"/>
  <c r="D58" i="8"/>
  <c r="B62" i="8" s="1"/>
  <c r="D14" i="10"/>
  <c r="E28" i="29"/>
  <c r="C32" i="29" s="1"/>
  <c r="F32" i="29" s="1"/>
  <c r="M18" i="8"/>
  <c r="K22" i="8" s="1"/>
  <c r="E46" i="29"/>
  <c r="C50" i="29" s="1"/>
  <c r="F50" i="29" s="1"/>
  <c r="D18" i="9"/>
  <c r="B22" i="9" s="1"/>
  <c r="D68" i="9"/>
  <c r="D48" i="9"/>
  <c r="B52" i="9" s="1"/>
  <c r="D28" i="9"/>
  <c r="B32" i="9" s="1"/>
  <c r="C23" i="29"/>
  <c r="F23" i="29" s="1"/>
  <c r="F43" i="24"/>
  <c r="D15" i="31"/>
  <c r="F63" i="24"/>
  <c r="D17" i="31"/>
  <c r="F33" i="24"/>
  <c r="D14" i="31"/>
  <c r="F53" i="24"/>
  <c r="D16" i="31"/>
  <c r="L68" i="9"/>
  <c r="M68" i="8"/>
  <c r="K72" i="8" s="1"/>
  <c r="M38" i="8"/>
  <c r="K42" i="8" s="1"/>
  <c r="M48" i="8"/>
  <c r="K52" i="8" s="1"/>
  <c r="D57" i="7"/>
  <c r="B60" i="7" s="1"/>
  <c r="D16" i="13" s="1"/>
  <c r="B92" i="7"/>
  <c r="D19" i="13" s="1"/>
  <c r="B34" i="7"/>
  <c r="D13" i="13" s="1"/>
  <c r="B84" i="7"/>
  <c r="D17" i="13" s="1"/>
  <c r="B43" i="7"/>
  <c r="B26" i="7"/>
  <c r="D14" i="13" s="1"/>
  <c r="B12" i="6"/>
  <c r="D51" i="6" s="1"/>
  <c r="B55" i="6" s="1"/>
  <c r="B19" i="1"/>
  <c r="F37" i="27"/>
  <c r="D15" i="28"/>
  <c r="F29" i="27"/>
  <c r="F21" i="27"/>
  <c r="D13" i="28"/>
  <c r="F58" i="27"/>
  <c r="D17" i="28"/>
  <c r="F45" i="27"/>
  <c r="D16" i="28"/>
  <c r="E43" i="25"/>
  <c r="D13" i="26"/>
  <c r="E23" i="25"/>
  <c r="D11" i="26"/>
  <c r="E33" i="25"/>
  <c r="D12" i="26"/>
  <c r="E63" i="25"/>
  <c r="D15" i="26"/>
  <c r="E53" i="25"/>
  <c r="D14" i="26"/>
  <c r="D17" i="23"/>
  <c r="E54" i="22"/>
  <c r="D15" i="23"/>
  <c r="E38" i="22"/>
  <c r="D14" i="23"/>
  <c r="E29" i="22"/>
  <c r="D13" i="23"/>
  <c r="E21" i="22"/>
  <c r="E46" i="22"/>
  <c r="D16" i="23"/>
  <c r="D15" i="21"/>
  <c r="D16" i="21"/>
  <c r="D14" i="21"/>
  <c r="D12" i="21"/>
  <c r="B38" i="17"/>
  <c r="B41" i="17" s="1"/>
  <c r="B50" i="17"/>
  <c r="B62" i="17"/>
  <c r="B44" i="17"/>
  <c r="B56" i="17"/>
  <c r="B59" i="17" s="1"/>
  <c r="B68" i="17"/>
  <c r="B20" i="17"/>
  <c r="B32" i="17"/>
  <c r="B26" i="17"/>
  <c r="D16" i="14" l="1"/>
  <c r="D18" i="31"/>
  <c r="D18" i="23"/>
  <c r="D17" i="21"/>
  <c r="E52" i="9"/>
  <c r="D15" i="14"/>
  <c r="E22" i="9"/>
  <c r="D12" i="14"/>
  <c r="E32" i="9"/>
  <c r="D13" i="14"/>
  <c r="E62" i="22"/>
  <c r="D16" i="26"/>
  <c r="D14" i="28"/>
  <c r="D18" i="28"/>
  <c r="E76" i="27"/>
  <c r="D19" i="28"/>
  <c r="F73" i="24"/>
  <c r="F77" i="29"/>
  <c r="D23" i="12"/>
  <c r="E83" i="25"/>
  <c r="D17" i="26"/>
  <c r="E83" i="24"/>
  <c r="D19" i="31"/>
  <c r="E72" i="22"/>
  <c r="D19" i="23"/>
  <c r="E81" i="20"/>
  <c r="D18" i="21"/>
  <c r="B72" i="9"/>
  <c r="D78" i="9"/>
  <c r="B82" i="9" s="1"/>
  <c r="J72" i="9"/>
  <c r="M72" i="9" s="1"/>
  <c r="M78" i="9"/>
  <c r="K82" i="9" s="1"/>
  <c r="F41" i="17"/>
  <c r="E7" i="17" s="1"/>
  <c r="F59" i="17"/>
  <c r="E10" i="17" s="1"/>
  <c r="B47" i="17"/>
  <c r="B71" i="17"/>
  <c r="B65" i="17"/>
  <c r="B53" i="17"/>
  <c r="B35" i="17"/>
  <c r="F77" i="17" s="1"/>
  <c r="E13" i="17" s="1"/>
  <c r="B23" i="17"/>
  <c r="B29" i="17"/>
  <c r="D17" i="10"/>
  <c r="D18" i="10"/>
  <c r="D15" i="10"/>
  <c r="D16" i="10"/>
  <c r="D13" i="10"/>
  <c r="D10" i="17"/>
  <c r="D7" i="17"/>
  <c r="D62" i="6"/>
  <c r="B66" i="6" s="1"/>
  <c r="E66" i="6" s="1"/>
  <c r="D27" i="6"/>
  <c r="B31" i="6" s="1"/>
  <c r="E31" i="6" s="1"/>
  <c r="D71" i="6"/>
  <c r="B75" i="6" s="1"/>
  <c r="E75" i="6" s="1"/>
  <c r="D36" i="6"/>
  <c r="B40" i="6" s="1"/>
  <c r="D18" i="6"/>
  <c r="B22" i="6" s="1"/>
  <c r="E22" i="6" s="1"/>
  <c r="E55" i="6"/>
  <c r="B31" i="20"/>
  <c r="D13" i="21" s="1"/>
  <c r="D16" i="12" l="1"/>
  <c r="D18" i="14"/>
  <c r="E72" i="9"/>
  <c r="D17" i="14"/>
  <c r="D13" i="12"/>
  <c r="F65" i="17"/>
  <c r="E11" i="17" s="1"/>
  <c r="D20" i="12"/>
  <c r="F47" i="17"/>
  <c r="E8" i="17" s="1"/>
  <c r="D14" i="12"/>
  <c r="F29" i="17"/>
  <c r="E5" i="17" s="1"/>
  <c r="D19" i="12"/>
  <c r="F53" i="17"/>
  <c r="E9" i="17" s="1"/>
  <c r="D15" i="12"/>
  <c r="F71" i="17"/>
  <c r="E12" i="17" s="1"/>
  <c r="D21" i="12"/>
  <c r="D4" i="17"/>
  <c r="D17" i="12"/>
  <c r="F35" i="17"/>
  <c r="E6" i="17" s="1"/>
  <c r="D18" i="12"/>
  <c r="D11" i="17"/>
  <c r="D12" i="17"/>
  <c r="D9" i="17"/>
  <c r="D6" i="17"/>
  <c r="D8" i="17"/>
  <c r="D5" i="17"/>
  <c r="F23" i="17"/>
  <c r="E4" i="17" s="1"/>
  <c r="E40" i="6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Babcock, Steven</author>
  </authors>
  <commentList>
    <comment ref="B4" authorId="0" shapeId="0" xr:uid="{1FF30450-63DF-4FAE-A64F-4111B9223CA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4" authorId="0" shapeId="0" xr:uid="{D8B3EC7C-2B63-4CD7-8284-E86C0D7053B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5" authorId="0" shapeId="0" xr:uid="{3A8DCEEF-EFA4-45B6-AB1D-B61E99A6353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5" authorId="0" shapeId="0" xr:uid="{A606756E-337A-46EF-AAF7-4CBF1B6889F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6" authorId="0" shapeId="0" xr:uid="{27ABBFB4-EED0-4334-89A4-7A32C92460B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6" authorId="0" shapeId="0" xr:uid="{F86B2B25-6AA0-4162-8261-8040A138A19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7" authorId="0" shapeId="0" xr:uid="{F3EBE960-BFB8-4597-A683-B2983836D7D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7" authorId="0" shapeId="0" xr:uid="{8EDE1DF6-C7E9-4ABE-85CD-CE9668DE669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8" authorId="0" shapeId="0" xr:uid="{8EC1C9B1-18BC-4358-8D7C-1EE0E1A709C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8" authorId="0" shapeId="0" xr:uid="{04D5BE63-B10B-4FA3-BC5C-0473E82425E0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Pemrit Limit</t>
        </r>
      </text>
    </comment>
    <comment ref="B9" authorId="0" shapeId="0" xr:uid="{C068615E-5994-4376-A004-B4761EEB26C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9" authorId="0" shapeId="0" xr:uid="{FCD54C63-D20F-4B7B-8AA3-003667C2C7E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0" authorId="0" shapeId="0" xr:uid="{467B7F32-17F7-4AF0-BF55-ECBB341EFA4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0" authorId="0" shapeId="0" xr:uid="{3450EF2E-C163-46C3-8E1C-1945361D343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AP-42 Section 1.3</t>
        </r>
      </text>
    </comment>
    <comment ref="B11" authorId="0" shapeId="0" xr:uid="{BFBB9E8F-F357-4918-8D23-62829DD95F3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1" authorId="0" shapeId="0" xr:uid="{E63F9251-D977-4CF1-B466-E582F24DBF2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3" authorId="0" shapeId="0" xr:uid="{E382610D-759C-4260-96F0-301609D324B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  <comment ref="C13" authorId="0" shapeId="0" xr:uid="{0D392EDE-E1EF-494F-93E7-C8876D54E9A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Babcock, Steven</author>
  </authors>
  <commentList>
    <comment ref="B4" authorId="0" shapeId="0" xr:uid="{E4E3DD27-66B5-4F8D-BCD9-04817AF30D9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4" authorId="0" shapeId="0" xr:uid="{718FADAE-B046-4EFE-8531-30EFF809FF6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5" authorId="0" shapeId="0" xr:uid="{0D56F562-A346-44E3-AEB4-F9A09CBA71F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5" authorId="0" shapeId="0" xr:uid="{0B2008E7-AB9B-4DEF-B8AA-ADB9846ABCD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6" authorId="0" shapeId="0" xr:uid="{87398D7F-6731-4EDF-A1C2-9D11226DBA7A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6" authorId="0" shapeId="0" xr:uid="{9AB23DD4-26EF-4322-B9FF-A1AE46C19C9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7" authorId="0" shapeId="0" xr:uid="{2EF44DEB-A659-4084-8100-AEA72B5D196A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7" authorId="0" shapeId="0" xr:uid="{B0550AB4-16FE-4740-9C26-9ECF81679A2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8" authorId="0" shapeId="0" xr:uid="{8D8F224A-0FC4-4082-B38B-49D0B9358E6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8" authorId="0" shapeId="0" xr:uid="{50402883-943F-40F5-BBD4-98937DF9739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Pemrit Limit</t>
        </r>
      </text>
    </comment>
    <comment ref="B9" authorId="0" shapeId="0" xr:uid="{1D24358A-AE75-44AB-A5C7-B3658C0BAF8F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9" authorId="0" shapeId="0" xr:uid="{835507FC-2B7B-48D3-88E0-A229DDC6B6DE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0" authorId="0" shapeId="0" xr:uid="{DBB68E79-1E2E-40B7-A266-04FDC5E04ABD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0" authorId="0" shapeId="0" xr:uid="{A941DD29-222A-460B-A760-27AA404D215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AP-42 Section 1.3</t>
        </r>
      </text>
    </comment>
    <comment ref="B11" authorId="0" shapeId="0" xr:uid="{0B3DE6F8-A53B-4040-B228-EED514840E6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1" authorId="0" shapeId="0" xr:uid="{B3610060-1CDE-4DA1-9422-B18EB9541021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3" authorId="0" shapeId="0" xr:uid="{D9A022D0-8A42-489D-83D3-4E965A9244F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  <comment ref="C13" authorId="0" shapeId="0" xr:uid="{7578F175-3CE6-49C4-A728-1B3CBBD26C5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Lopez Rosario</author>
  </authors>
  <commentList>
    <comment ref="B31" authorId="0" shapeId="0" xr:uid="{FB69C509-18FE-4915-A182-FCC8D7C36858}">
      <text>
        <r>
          <rPr>
            <b/>
            <sz val="9"/>
            <color indexed="81"/>
            <rFont val="Tahoma"/>
            <family val="2"/>
          </rPr>
          <t>Javier Lopez Rosario:</t>
        </r>
        <r>
          <rPr>
            <sz val="9"/>
            <color indexed="81"/>
            <rFont val="Tahoma"/>
            <family val="2"/>
          </rPr>
          <t xml:space="preserve">
Opero 100% GN</t>
        </r>
      </text>
    </comment>
    <comment ref="B34" authorId="0" shapeId="0" xr:uid="{A72AB11D-A1C2-4F2E-A21B-A4C3E9C6E549}">
      <text>
        <r>
          <rPr>
            <b/>
            <sz val="9"/>
            <color indexed="81"/>
            <rFont val="Tahoma"/>
            <family val="2"/>
          </rPr>
          <t>Javier Lopez Rosario:</t>
        </r>
        <r>
          <rPr>
            <sz val="9"/>
            <color indexed="81"/>
            <rFont val="Tahoma"/>
            <family val="2"/>
          </rPr>
          <t xml:space="preserve">
Opero 100% GN</t>
        </r>
      </text>
    </comment>
    <comment ref="C34" authorId="0" shapeId="0" xr:uid="{776DC5A1-A12F-4DE4-85D0-A071A6AFF9F7}">
      <text>
        <r>
          <rPr>
            <b/>
            <sz val="9"/>
            <color indexed="81"/>
            <rFont val="Tahoma"/>
            <family val="2"/>
          </rPr>
          <t>Javier Lopez Rosario:</t>
        </r>
        <r>
          <rPr>
            <sz val="9"/>
            <color indexed="81"/>
            <rFont val="Tahoma"/>
            <family val="2"/>
          </rPr>
          <t xml:space="preserve">
Opero en 100% GN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Babcock, Steven</author>
  </authors>
  <commentList>
    <comment ref="B4" authorId="0" shapeId="0" xr:uid="{58F94F0B-AA4F-4CDA-B96E-0DF3522BB460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Vendor guarantee</t>
        </r>
      </text>
    </comment>
    <comment ref="C4" authorId="0" shapeId="0" xr:uid="{FCBDCA59-A82E-4894-9A02-F35C19674A7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From EPA approved PSD netting analysis</t>
        </r>
      </text>
    </comment>
    <comment ref="B5" authorId="0" shapeId="0" xr:uid="{60A4F3FE-6015-4CB4-AA0E-6B0B98A423E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Vendor gurantee</t>
        </r>
      </text>
    </comment>
    <comment ref="C5" authorId="0" shapeId="0" xr:uid="{D2340968-48C5-4F1A-AF89-175A10DEF6BE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From EPA approved PSD netting analysis</t>
        </r>
      </text>
    </comment>
    <comment ref="B6" authorId="0" shapeId="0" xr:uid="{C50D5200-D113-44A0-A22D-89BC0F10F92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6" authorId="0" shapeId="0" xr:uid="{BA28B7D3-19F4-4831-82A2-B3FF78FAFDD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7" authorId="0" shapeId="0" xr:uid="{7B1CE622-C446-4BF1-A650-88AC3C06C75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7" authorId="0" shapeId="0" xr:uid="{D47960C8-E704-475B-B2BE-9639F66CEEE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8" authorId="0" shapeId="0" xr:uid="{FCA2757D-ED40-4657-8EFB-A20787705230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8" authorId="0" shapeId="0" xr:uid="{EF67FE90-29CC-426E-B58D-4ABF32565CB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9" authorId="0" shapeId="0" xr:uid="{94C6EF18-F9B5-4E67-8E61-76BF7F459EDA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9" authorId="0" shapeId="0" xr:uid="{C8DBE912-1C39-4FC3-BFA4-E37090C11D2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10" authorId="0" shapeId="0" xr:uid="{E6682472-FAB8-4507-9F7C-B3F9825912F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0" authorId="0" shapeId="0" xr:uid="{26680681-3D56-4EAC-A26B-A4391A99726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AP-42 Section 3.1</t>
        </r>
      </text>
    </comment>
    <comment ref="B11" authorId="0" shapeId="0" xr:uid="{B70F5FBE-669A-437B-B327-618240862BF1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1" authorId="0" shapeId="0" xr:uid="{3FA7A260-26FB-42B5-888C-177C2356425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2" authorId="0" shapeId="0" xr:uid="{DCC8D5C4-41EA-4192-825B-AF0B0C1ADBD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13" authorId="0" shapeId="0" xr:uid="{B087BF77-D81B-4DD2-BF35-C51504D1B983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  <comment ref="C13" authorId="0" shapeId="0" xr:uid="{133CB9FC-BD62-413D-B0BA-DE2BCB7F638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Babcock, Steven</author>
  </authors>
  <commentList>
    <comment ref="B4" authorId="0" shapeId="0" xr:uid="{49DFD579-8DE6-4ABC-8BE4-109A5DC5083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Vendor guarantee</t>
        </r>
      </text>
    </comment>
    <comment ref="C4" authorId="0" shapeId="0" xr:uid="{07BA3937-BC1E-4BB3-A5D6-45B352F37F7A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From EPA approved PSD netting analysis</t>
        </r>
      </text>
    </comment>
    <comment ref="B5" authorId="0" shapeId="0" xr:uid="{CC40028B-D927-4944-B0D8-E45A18235A5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Vendor gurantee</t>
        </r>
      </text>
    </comment>
    <comment ref="C5" authorId="0" shapeId="0" xr:uid="{09924FDB-4727-407A-BAD7-93140A6FB83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From EPA approved PSD netting analysis</t>
        </r>
      </text>
    </comment>
    <comment ref="B6" authorId="0" shapeId="0" xr:uid="{BAAE84E5-5997-458B-BD46-6190767036D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6" authorId="0" shapeId="0" xr:uid="{E3F7D04F-9B30-4AC2-8E26-BD88949612D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7" authorId="0" shapeId="0" xr:uid="{33C9C78D-9F2D-4BC3-BB20-851B9C8DD03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7" authorId="0" shapeId="0" xr:uid="{7832E7BD-2531-4686-967C-41A5071E349D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8" authorId="0" shapeId="0" xr:uid="{EF1C6D19-E679-4E79-9A23-401DDD83F69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8" authorId="0" shapeId="0" xr:uid="{498F84DC-75DD-45DB-93B4-A3F003F25884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9" authorId="0" shapeId="0" xr:uid="{AD41F590-69D3-4D37-94D6-1D7B4DDE5D9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9" authorId="0" shapeId="0" xr:uid="{E712814B-E6EA-4AB9-A4C5-797380D8478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10" authorId="0" shapeId="0" xr:uid="{99C6E92C-E403-4CED-9316-66E58B71EB6E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0" authorId="0" shapeId="0" xr:uid="{370881D2-95E2-4F81-91E3-81710C98203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AP-42 Section 3.1</t>
        </r>
      </text>
    </comment>
    <comment ref="B11" authorId="0" shapeId="0" xr:uid="{F45251DF-55AD-40E9-B78B-4E98E362EA5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1" authorId="0" shapeId="0" xr:uid="{2A1FAE69-618F-48F7-897B-A8DBD7B58CD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C12" authorId="0" shapeId="0" xr:uid="{6D44A691-0566-4A93-93EA-4EB69AB57AA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 PFE-65-0499-0365-I-II-C</t>
        </r>
      </text>
    </comment>
    <comment ref="B13" authorId="0" shapeId="0" xr:uid="{25DB8E4F-F2BF-4E2B-B513-1644044BF57B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  <comment ref="C13" authorId="0" shapeId="0" xr:uid="{311B0907-6593-4CBA-A16B-08BB93C079F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eGGRT GHG Report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Babcock, Steven</author>
  </authors>
  <commentList>
    <comment ref="B4" authorId="0" shapeId="0" xr:uid="{65956E12-13C2-41D3-B315-DC862966686B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4" authorId="0" shapeId="0" xr:uid="{0F40E5A4-C9C4-4441-AC2A-ADA6421BF70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5" authorId="0" shapeId="0" xr:uid="{9F914E56-F8A2-450E-893B-58AA4E6666C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5" authorId="0" shapeId="0" xr:uid="{BE31A657-4B73-4792-9C72-4690DC27A358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6" authorId="0" shapeId="0" xr:uid="{7E1F765D-A350-4632-9E89-661C68552491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6" authorId="0" shapeId="0" xr:uid="{A3A5B09A-4936-4668-BFC0-BA85F8C055A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7" authorId="0" shapeId="0" xr:uid="{A83BAD65-2C87-4E28-A587-5E58237EBBF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7" authorId="0" shapeId="0" xr:uid="{E61A646E-26FF-4B2E-BB2A-037F8C19C33F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8" authorId="0" shapeId="0" xr:uid="{EC007A69-3E4B-4278-8B06-D827735DB905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8" authorId="0" shapeId="0" xr:uid="{329C6C02-6462-4404-A2C8-7CDB3C9704DA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9" authorId="0" shapeId="0" xr:uid="{59EC2073-D1A1-40E1-8A3A-56067CB4A26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9" authorId="0" shapeId="0" xr:uid="{7E6542E1-5395-4F5F-BE33-1E15B2D0482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0" authorId="0" shapeId="0" xr:uid="{F60B9EDA-9173-4085-A11A-41281E6C2E59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0" authorId="0" shapeId="0" xr:uid="{62548BEE-C0CA-4765-8A90-9F35CC34DAD7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AP-42 Section 1.3</t>
        </r>
      </text>
    </comment>
    <comment ref="B11" authorId="0" shapeId="0" xr:uid="{FFAA05BD-5CFC-40EC-9F89-DC5868472742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C11" authorId="0" shapeId="0" xr:uid="{201B957C-A6CE-4407-B3AC-8F2E51AA7CCF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B13" authorId="0" shapeId="0" xr:uid="{90D7543A-FD37-42C0-89D5-D16735D9FC9C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40 CFR 98, Subpart C</t>
        </r>
      </text>
    </comment>
    <comment ref="C13" authorId="0" shapeId="0" xr:uid="{D657BCB5-7FB2-4A36-BFB7-C1F91A2C45A6}">
      <text>
        <r>
          <rPr>
            <b/>
            <sz val="9"/>
            <color indexed="81"/>
            <rFont val="Tahoma"/>
            <family val="2"/>
          </rPr>
          <t>Babcock, Steven:</t>
        </r>
        <r>
          <rPr>
            <sz val="9"/>
            <color indexed="81"/>
            <rFont val="Tahoma"/>
            <family val="2"/>
          </rPr>
          <t xml:space="preserve">
40 CFR 98, Subpart C</t>
        </r>
      </text>
    </comment>
  </commentList>
</comments>
</file>

<file path=xl/sharedStrings.xml><?xml version="1.0" encoding="utf-8"?>
<sst xmlns="http://schemas.openxmlformats.org/spreadsheetml/2006/main" count="4550" uniqueCount="436">
  <si>
    <t>CS3</t>
  </si>
  <si>
    <t>CS4</t>
  </si>
  <si>
    <t>CS5</t>
  </si>
  <si>
    <t>CS6</t>
  </si>
  <si>
    <t>Total</t>
  </si>
  <si>
    <t>Month</t>
  </si>
  <si>
    <t>SJ7</t>
  </si>
  <si>
    <t>SJ8</t>
  </si>
  <si>
    <t>SJ9</t>
  </si>
  <si>
    <t>SJ10</t>
  </si>
  <si>
    <t>AG-1</t>
  </si>
  <si>
    <t>AG-2</t>
  </si>
  <si>
    <t>CC1-1</t>
  </si>
  <si>
    <t>CC1-2</t>
  </si>
  <si>
    <t>CC1-3</t>
  </si>
  <si>
    <t>CC1-4</t>
  </si>
  <si>
    <t>CC2-1</t>
  </si>
  <si>
    <t>CC2-2</t>
  </si>
  <si>
    <t>CC2-3</t>
  </si>
  <si>
    <t>CC2-4</t>
  </si>
  <si>
    <t>SCGT1-1</t>
  </si>
  <si>
    <t>SCGT1-2</t>
  </si>
  <si>
    <t>PS-1</t>
  </si>
  <si>
    <t>PS-2</t>
  </si>
  <si>
    <t>PS-3</t>
  </si>
  <si>
    <t>PS-4</t>
  </si>
  <si>
    <t>PSGT1-1</t>
  </si>
  <si>
    <t>PSGT1-2</t>
  </si>
  <si>
    <t>PSGT2-1</t>
  </si>
  <si>
    <t>PSGT2-2</t>
  </si>
  <si>
    <t>Barrels</t>
  </si>
  <si>
    <t>SCF</t>
  </si>
  <si>
    <t>TOTAL</t>
  </si>
  <si>
    <t>Unit 5</t>
  </si>
  <si>
    <t>Unit 6</t>
  </si>
  <si>
    <t>SJCC5</t>
  </si>
  <si>
    <t>SJCC6</t>
  </si>
  <si>
    <t>VBGT1-1</t>
  </si>
  <si>
    <t>VBGT1-2</t>
  </si>
  <si>
    <t>DAGT1-1</t>
  </si>
  <si>
    <t>DAGT1-2</t>
  </si>
  <si>
    <t>YAGT1-1</t>
  </si>
  <si>
    <t>YAGT1-2</t>
  </si>
  <si>
    <t>Mon th</t>
  </si>
  <si>
    <t>JOGT1-1</t>
  </si>
  <si>
    <t>JOGT1-2</t>
  </si>
  <si>
    <t>MAG-5</t>
  </si>
  <si>
    <t>MAG-6</t>
  </si>
  <si>
    <t>MAG-7</t>
  </si>
  <si>
    <t>MAG-8</t>
  </si>
  <si>
    <t>CAMB 1</t>
  </si>
  <si>
    <t>CAMB 2</t>
  </si>
  <si>
    <t>CAMB 3</t>
  </si>
  <si>
    <t>Factores de Emisión AP-42</t>
  </si>
  <si>
    <t>PM</t>
  </si>
  <si>
    <t>(9.19)(%S) + 3.22 lb/1000gal</t>
  </si>
  <si>
    <t>SOx</t>
  </si>
  <si>
    <t>NOx</t>
  </si>
  <si>
    <t>32 (Tangencial) lb/1000gal</t>
  </si>
  <si>
    <t>VOC</t>
  </si>
  <si>
    <t>0.76 lb/1000gal</t>
  </si>
  <si>
    <t>CO</t>
  </si>
  <si>
    <t>5 lb/1000gal</t>
  </si>
  <si>
    <t>Pb</t>
  </si>
  <si>
    <t>0.00151 lb/1000gal</t>
  </si>
  <si>
    <t>Combustible #6</t>
  </si>
  <si>
    <t>gal/año</t>
  </si>
  <si>
    <t>Azufre %</t>
  </si>
  <si>
    <t>Cálculos Emisiones PM</t>
  </si>
  <si>
    <t>=</t>
  </si>
  <si>
    <t>lb</t>
  </si>
  <si>
    <t>gal</t>
  </si>
  <si>
    <t>ton</t>
  </si>
  <si>
    <t>año</t>
  </si>
  <si>
    <t>Cálculos Emisiones SOx</t>
  </si>
  <si>
    <t>Cálculos Emisiones NOx</t>
  </si>
  <si>
    <t>Cálculos Emisiones VOC</t>
  </si>
  <si>
    <t>Cálculos Emisiones CO</t>
  </si>
  <si>
    <t>Cálculos Emisiones Pb</t>
  </si>
  <si>
    <t>Galones</t>
  </si>
  <si>
    <t>Azufre % por peso</t>
  </si>
  <si>
    <t>0.012lb/MMBTU</t>
  </si>
  <si>
    <t>1.01*%S lb/MMBTU</t>
  </si>
  <si>
    <t>0.00041 lb/MMBTU</t>
  </si>
  <si>
    <t>0.0033 lb/MMBTU</t>
  </si>
  <si>
    <t>Combustible #2</t>
  </si>
  <si>
    <t>MMBTU</t>
  </si>
  <si>
    <t>0.012 lb/MMBTU</t>
  </si>
  <si>
    <t>0.012          lb/MMBTU</t>
  </si>
  <si>
    <t>1.01*%S     lb/MMBTU</t>
  </si>
  <si>
    <t>0.880          lb/MMBTU</t>
  </si>
  <si>
    <t>0.00041      lb/MMBTU</t>
  </si>
  <si>
    <t>0.0033        lb/MMBTU</t>
  </si>
  <si>
    <t>0.0000140   lb/MMBTU</t>
  </si>
  <si>
    <t>Inventario de Emisiones para las Fuentes de Emisión en Puerto Rico</t>
  </si>
  <si>
    <t>Autoridad de Energía Electrica  de Puerto Rico</t>
  </si>
  <si>
    <t xml:space="preserve">       Central Termoeléctrica de Aguirre</t>
  </si>
  <si>
    <t>Contaminante</t>
  </si>
  <si>
    <t>Emisión Total</t>
  </si>
  <si>
    <t>Permisible (ton/yr)</t>
  </si>
  <si>
    <t>Actual (ton/yr)</t>
  </si>
  <si>
    <t>PM Total</t>
  </si>
  <si>
    <t>Pb ii</t>
  </si>
  <si>
    <t>Junto con este formulario se deberán incluir los cálculos realizados para sustentar el</t>
  </si>
  <si>
    <t>total de emisiones reportadas.  Si las emisiones fueron calculadas utilizando</t>
  </si>
  <si>
    <t>programas de computadoras deberá proveerse el nombre del programa y un ejemplo</t>
  </si>
  <si>
    <t>de dichos cálculos.  De requerir información adicional se le solicitará a la industria.</t>
  </si>
  <si>
    <t>i-   El estimado de CO no se utilizará para propósitos de pago ya que está exento.</t>
  </si>
  <si>
    <t>ii-   Los HAP's (Pb)("Hazardous Air Pollutants") están identificadas en el Apéndice del</t>
  </si>
  <si>
    <t xml:space="preserve">      Reglamento de Aire</t>
  </si>
  <si>
    <t>Emisión Total 
Permisible (ton/yr)</t>
  </si>
  <si>
    <t>Emisión Total 
Actual (ton/yr)</t>
  </si>
  <si>
    <t>Factores de Emisión de acuerdo a Permiso Título V</t>
  </si>
  <si>
    <t>PM10</t>
  </si>
  <si>
    <t>H2SO4</t>
  </si>
  <si>
    <t>Combustible</t>
  </si>
  <si>
    <t>% Azufre</t>
  </si>
  <si>
    <t>Cálculos Emisiones PM10</t>
  </si>
  <si>
    <t>lbs</t>
  </si>
  <si>
    <t>MMBtu</t>
  </si>
  <si>
    <t>Cálculos Emisiones H2SO4</t>
  </si>
  <si>
    <t>Cálculos Emisiones SO2</t>
  </si>
  <si>
    <t>0.0405    lbs/MMBtu</t>
  </si>
  <si>
    <t>0.76        lbs/1000gal</t>
  </si>
  <si>
    <t>5             lbs/1000gal</t>
  </si>
  <si>
    <t>0.00151   lbs/1000gal</t>
  </si>
  <si>
    <t>galones</t>
  </si>
  <si>
    <t>%</t>
  </si>
  <si>
    <t>hr</t>
  </si>
  <si>
    <t>Horas</t>
  </si>
  <si>
    <t>Azufre</t>
  </si>
  <si>
    <t>Total gal/yr</t>
  </si>
  <si>
    <t>AGGT2-1</t>
  </si>
  <si>
    <t>AGGT2-2</t>
  </si>
  <si>
    <r>
      <t>SO</t>
    </r>
    <r>
      <rPr>
        <vertAlign val="subscript"/>
        <sz val="12"/>
        <rFont val="Times New Roman"/>
        <family val="1"/>
      </rPr>
      <t>2</t>
    </r>
  </si>
  <si>
    <r>
      <t xml:space="preserve">CO </t>
    </r>
    <r>
      <rPr>
        <vertAlign val="superscript"/>
        <sz val="12"/>
        <rFont val="Times New Roman"/>
        <family val="1"/>
      </rPr>
      <t>i</t>
    </r>
  </si>
  <si>
    <r>
      <t xml:space="preserve">Pb </t>
    </r>
    <r>
      <rPr>
        <vertAlign val="superscript"/>
        <sz val="12"/>
        <rFont val="Times New Roman"/>
        <family val="1"/>
      </rPr>
      <t>ii</t>
    </r>
  </si>
  <si>
    <r>
      <t>NO</t>
    </r>
    <r>
      <rPr>
        <vertAlign val="subscript"/>
        <sz val="12"/>
        <rFont val="Times New Roman"/>
        <family val="1"/>
      </rPr>
      <t>x</t>
    </r>
  </si>
  <si>
    <t>Central Termoeléctrica de San Juan</t>
  </si>
  <si>
    <t xml:space="preserve">      Contaminante</t>
  </si>
  <si>
    <t xml:space="preserve">Emisión Total </t>
  </si>
  <si>
    <t>SO2</t>
  </si>
  <si>
    <r>
      <t>PM</t>
    </r>
    <r>
      <rPr>
        <vertAlign val="subscript"/>
        <sz val="12"/>
        <rFont val="Times New Roman"/>
        <family val="1"/>
      </rPr>
      <t>10</t>
    </r>
  </si>
  <si>
    <t>Total
(gal/yr)</t>
  </si>
  <si>
    <t xml:space="preserve">       Central Termoeléctrica de Palo Seco</t>
  </si>
  <si>
    <r>
      <t>CO</t>
    </r>
    <r>
      <rPr>
        <vertAlign val="superscript"/>
        <sz val="12"/>
        <rFont val="Times New Roman"/>
        <family val="1"/>
      </rPr>
      <t>i</t>
    </r>
  </si>
  <si>
    <r>
      <t>Pb</t>
    </r>
    <r>
      <rPr>
        <vertAlign val="superscript"/>
        <sz val="12"/>
        <rFont val="Times New Roman"/>
        <family val="1"/>
      </rPr>
      <t>ii</t>
    </r>
  </si>
  <si>
    <t>HAP,s (Pb)</t>
  </si>
  <si>
    <t>0.88 lb/MMBTU</t>
  </si>
  <si>
    <t>0.00041 l/MMBTU</t>
  </si>
  <si>
    <t>0.000014 lb MMBTU</t>
  </si>
  <si>
    <t>PSGT3-1</t>
  </si>
  <si>
    <t>PSGT3-2</t>
  </si>
  <si>
    <t>Central Termoeléctrica de Costa Sur</t>
  </si>
  <si>
    <t>Emisión Total Compuesta</t>
  </si>
  <si>
    <t>PM2.5</t>
  </si>
  <si>
    <t>Fluoruro</t>
  </si>
  <si>
    <t>ii-  PREPA está operando las unidades SC5 y SC6 bajo el escenario autorizado</t>
  </si>
  <si>
    <t xml:space="preserve">     por el Permiso de Construcción PFE-31-0810-0455-II-C.</t>
  </si>
  <si>
    <t>Parametro</t>
  </si>
  <si>
    <t>* FE en lbs/MMBtu * 1 ton/2,000 lbs</t>
  </si>
  <si>
    <t>lb/hr</t>
  </si>
  <si>
    <t>CO =</t>
  </si>
  <si>
    <t>VOC =</t>
  </si>
  <si>
    <t>PM =</t>
  </si>
  <si>
    <t>Pb =</t>
  </si>
  <si>
    <t>Nota:</t>
  </si>
  <si>
    <t>* La formula y los factores de emisión utilizados son los aprobados en la última revisión del permiso</t>
  </si>
  <si>
    <t xml:space="preserve">de construcción PFE-31-0810-0455-II-C, con fecha del 21 de marzo de 2012, para la quema dual </t>
  </si>
  <si>
    <t>Ecuación para el Cómputo</t>
  </si>
  <si>
    <t>lbs/hr =</t>
  </si>
  <si>
    <t xml:space="preserve">galones  </t>
  </si>
  <si>
    <t xml:space="preserve">MMBtu            </t>
  </si>
  <si>
    <t>+</t>
  </si>
  <si>
    <t>Emisiones Actuales (lb/hr)</t>
  </si>
  <si>
    <t xml:space="preserve">SCF       </t>
  </si>
  <si>
    <t xml:space="preserve">MMBtu   </t>
  </si>
  <si>
    <t xml:space="preserve">lbs         </t>
  </si>
  <si>
    <r>
      <t>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=</t>
    </r>
  </si>
  <si>
    <r>
      <t>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=</t>
    </r>
  </si>
  <si>
    <r>
      <t>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</si>
  <si>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SO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=</t>
    </r>
  </si>
  <si>
    <r>
      <t>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=</t>
    </r>
  </si>
  <si>
    <t>*</t>
  </si>
  <si>
    <r>
      <t>PM</t>
    </r>
    <r>
      <rPr>
        <vertAlign val="subscript"/>
        <sz val="12"/>
        <rFont val="Times New Roman"/>
        <family val="1"/>
      </rPr>
      <t>2.5</t>
    </r>
  </si>
  <si>
    <r>
      <t>SO</t>
    </r>
    <r>
      <rPr>
        <vertAlign val="subscript"/>
        <sz val="12"/>
        <rFont val="Times New Roman"/>
        <family val="1"/>
      </rPr>
      <t>x</t>
    </r>
  </si>
  <si>
    <r>
      <t xml:space="preserve">CO </t>
    </r>
    <r>
      <rPr>
        <vertAlign val="subscript"/>
        <sz val="12"/>
        <rFont val="Times New Roman"/>
        <family val="1"/>
      </rPr>
      <t>i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</si>
  <si>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</si>
  <si>
    <t>CO (lb)</t>
  </si>
  <si>
    <t>Total (lb/yr)</t>
  </si>
  <si>
    <t>Total (ton/yr)</t>
  </si>
  <si>
    <t>NOx (lb)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</si>
  <si>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</si>
  <si>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</si>
  <si>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</si>
  <si>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</si>
  <si>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</si>
  <si>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</si>
  <si>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</si>
  <si>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</si>
  <si>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</si>
  <si>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</si>
  <si>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</si>
  <si>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</si>
  <si>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Turbinas de Combustion Cambalache</t>
  </si>
  <si>
    <t xml:space="preserve">    Emisión Total
Permisible (ton/yr)</t>
  </si>
  <si>
    <t xml:space="preserve">    Emisión Total
Actual (ton/yr)</t>
  </si>
  <si>
    <t xml:space="preserve"> </t>
  </si>
  <si>
    <t>ii-  CEMS</t>
  </si>
  <si>
    <t>iii-  PSD review July 2006</t>
  </si>
  <si>
    <r>
      <t>PM</t>
    </r>
    <r>
      <rPr>
        <vertAlign val="subscript"/>
        <sz val="12"/>
        <rFont val="Times New Roman"/>
        <family val="1"/>
      </rPr>
      <t>10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(iii)</t>
    </r>
  </si>
  <si>
    <r>
      <t>NO</t>
    </r>
    <r>
      <rPr>
        <vertAlign val="subscript"/>
        <sz val="12"/>
        <rFont val="Times New Roman"/>
        <family val="1"/>
      </rPr>
      <t>x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(ii) (iii)</t>
    </r>
  </si>
  <si>
    <r>
      <t xml:space="preserve">CO </t>
    </r>
    <r>
      <rPr>
        <vertAlign val="superscript"/>
        <sz val="12"/>
        <rFont val="Times New Roman"/>
        <family val="1"/>
      </rPr>
      <t>(i) (ii) (iii)</t>
    </r>
  </si>
  <si>
    <r>
      <t>Cálculos Emisiones PM</t>
    </r>
    <r>
      <rPr>
        <vertAlign val="subscript"/>
        <sz val="10"/>
        <rFont val="Arial"/>
        <family val="2"/>
      </rPr>
      <t>10</t>
    </r>
  </si>
  <si>
    <t xml:space="preserve">       Central Hidro Gas Daguao</t>
  </si>
  <si>
    <t xml:space="preserve"> Actual (ton/yr)</t>
  </si>
  <si>
    <t>C0</t>
  </si>
  <si>
    <t>gal/yr</t>
  </si>
  <si>
    <t>Stationary Internal Combustion Sources</t>
  </si>
  <si>
    <t>lb/MMBTU</t>
  </si>
  <si>
    <t>*S lb/MMBTU</t>
  </si>
  <si>
    <t>(Unidades limitadas a 2,600 hrs de operación anual)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</si>
  <si>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</si>
  <si>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Cálculos Emisiones 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</si>
  <si>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Central Hidro-Gas Yabucoa</t>
  </si>
  <si>
    <t>ii- Los HAP's (Pb)("Hazardous Air Pollutants") están identificadas en el Apéndice del</t>
  </si>
  <si>
    <t xml:space="preserve">    Reglamento de Aire</t>
  </si>
  <si>
    <t>i- El estimado de CO no se utilizará para propósitos de pago ya que está exento.</t>
  </si>
  <si>
    <r>
      <t>PM</t>
    </r>
    <r>
      <rPr>
        <b/>
        <vertAlign val="subscript"/>
        <sz val="10"/>
        <rFont val="Arial"/>
        <family val="2"/>
      </rPr>
      <t>10</t>
    </r>
  </si>
  <si>
    <t>(Units limited to 2,600 hrs of operation per year)</t>
  </si>
  <si>
    <t xml:space="preserve">       Central Hidro-Gas Jobos</t>
  </si>
  <si>
    <t xml:space="preserve">       Central Hidro-Gas Mayagüez</t>
  </si>
  <si>
    <t>Actual (ton/tr)</t>
  </si>
  <si>
    <t>ii-   Los HAP's (Pb) ("Hazardous Air Pollutants") están identificadas en el Apéndice del</t>
  </si>
  <si>
    <t>PFE-TV-4911-50-1105-1925</t>
  </si>
  <si>
    <t>0.880 lb/MMBTU</t>
  </si>
  <si>
    <t>0.0000140 lb MMBTU</t>
  </si>
  <si>
    <t>Central Hidro-Gas Vega Baja</t>
  </si>
  <si>
    <t>Contaminante Criterio</t>
  </si>
  <si>
    <t>Compuestos de Níquel</t>
  </si>
  <si>
    <t>Compuestos de Manganeso</t>
  </si>
  <si>
    <t>Formaldehído</t>
  </si>
  <si>
    <t>CAP's Totales</t>
  </si>
  <si>
    <t>Plomo Pb</t>
  </si>
  <si>
    <t>COV</t>
  </si>
  <si>
    <t>Chloride</t>
  </si>
  <si>
    <t>Plomo (Pb)</t>
  </si>
  <si>
    <t xml:space="preserve">      Contaminantes Criterio</t>
  </si>
  <si>
    <t xml:space="preserve">      Contaminantes Atmosféricos Peligrosos</t>
  </si>
  <si>
    <t>Tolueno</t>
  </si>
  <si>
    <t>Polycyclic Organic Matter (POM)</t>
  </si>
  <si>
    <t>Contaminantes Atmosféricos Peligrosos</t>
  </si>
  <si>
    <t>NO INCLUIR EN PRINT OUT"=('San Juan'!J17+'San Juan'!K17+'San Juan'!L17+'San Juan'!M17)/4" se saco del promedio a la u-10 ya que estubo apagada</t>
  </si>
  <si>
    <t xml:space="preserve">                                                                                                                                                 </t>
  </si>
  <si>
    <t xml:space="preserve"> % Azufre</t>
  </si>
  <si>
    <t>DAGGT1-1</t>
  </si>
  <si>
    <t>DAGGT1-2</t>
  </si>
  <si>
    <t>PROMEDIO ANNUAL</t>
  </si>
  <si>
    <t>NOx (lb) UNIT 2</t>
  </si>
  <si>
    <t>NOx (lb) UNIT 3</t>
  </si>
  <si>
    <t>CO (lb) UNIT 2</t>
  </si>
  <si>
    <t>CO (lb) UNIT 3</t>
  </si>
  <si>
    <t>TOTAL COMBINED</t>
  </si>
  <si>
    <t>TOTAL U-2 &amp; 3</t>
  </si>
  <si>
    <t>NOTA PARA EFECTOS DE CALCULO SE SUBSTITUYO EL PROMEDIO DE AZUFRE POR EL CALCULO A MANO = .47; LA CELDA DEBE SER =B14</t>
  </si>
  <si>
    <t>avg</t>
  </si>
  <si>
    <t>Azufre Average</t>
  </si>
  <si>
    <t>Gallons</t>
  </si>
  <si>
    <t>gal/month</t>
  </si>
  <si>
    <t>Factor de Emisión
Combustible Natural Gas</t>
  </si>
  <si>
    <t>Factor de Emisión
Combustible No. 6 Oil</t>
  </si>
  <si>
    <t>SCF/month</t>
  </si>
  <si>
    <t>0.36 lb/MMBtu (CD Relatively Maintained NOx Target)</t>
  </si>
  <si>
    <t>0.33 lb/MMBtu (CD Relatively Maintained NOx Target)</t>
  </si>
  <si>
    <t>Emisiones Actuales (ton/month)</t>
  </si>
  <si>
    <t>ton/month =</t>
  </si>
  <si>
    <t>[Consumo de Combustible #6 en galones/month) * ( Valor Calorífico BC 0.15 MMBtu/gal)</t>
  </si>
  <si>
    <t>+ (Consumo Gas Natural SCF/month) * (Valor Calorífico GN 1,040 MMBtu/SCF*10^6)]</t>
  </si>
  <si>
    <t xml:space="preserve">(Toneladas Contaminante / month) * (1 month / 8,760 hr) * (2000 lb / ton) </t>
  </si>
  <si>
    <t>month</t>
  </si>
  <si>
    <t>ton/month</t>
  </si>
  <si>
    <t>Permisible (ton/month) ii</t>
  </si>
  <si>
    <t>Actual (ton/month)</t>
  </si>
  <si>
    <t>gals/month</t>
  </si>
  <si>
    <t>Permisible (ton/month)</t>
  </si>
  <si>
    <t>Total
gal/month</t>
  </si>
  <si>
    <t>Factores de Emisión AP-42 Section 3.1</t>
  </si>
  <si>
    <t>de combustible 100% Bunker C y 100% Gas Natural, según corresponda.</t>
  </si>
  <si>
    <t>#6 Azufre =</t>
  </si>
  <si>
    <t>MATS Emission Limit</t>
  </si>
  <si>
    <t>0.040    lbs/MMBtu</t>
  </si>
  <si>
    <t>0.030     lbs/MMBtu</t>
  </si>
  <si>
    <t xml:space="preserve">AP-42 Section 1.3 </t>
  </si>
  <si>
    <t>MATS Emission Limit + AP-42 Section 1.3 Condensable PM</t>
  </si>
  <si>
    <t>NOx (7&amp;8)</t>
  </si>
  <si>
    <t>NOx (9&amp;10)</t>
  </si>
  <si>
    <t>47        lbs/1000gal</t>
  </si>
  <si>
    <t>32       lbs/1000gal</t>
  </si>
  <si>
    <t>AP-42 Section 1.3 wall fired boilers</t>
  </si>
  <si>
    <t>AP-42 Section 1.3 tangential fired boilers</t>
  </si>
  <si>
    <t>gal/month 7&amp;8</t>
  </si>
  <si>
    <t>gal/month 9&amp;10</t>
  </si>
  <si>
    <t>Cálculos Emisiones Nox (7&amp;8)</t>
  </si>
  <si>
    <t>Cálculos Emisiones Nox (9&amp;10)</t>
  </si>
  <si>
    <t>Factor de Emisión
Combustible No. 2 Oil</t>
  </si>
  <si>
    <t>[Consumo de Combustible #6 en galones/month) * ( Valor Calorífico BC 0.138 MMBtu/gal)</t>
  </si>
  <si>
    <t>#2 Azufre =</t>
  </si>
  <si>
    <t>1.01*%S</t>
  </si>
  <si>
    <t>+ (Consumo Gas Natural SCF/month) * (Valor Calorífico GN 1,020 MMBtu/SCF*10^6)]</t>
  </si>
  <si>
    <t>Factores de Emisión AP-42 Section 1.3</t>
  </si>
  <si>
    <t>0.15 MMBtu</t>
  </si>
  <si>
    <r>
      <t>CO2e</t>
    </r>
    <r>
      <rPr>
        <vertAlign val="superscript"/>
        <sz val="12"/>
        <rFont val="Times New Roman"/>
        <family val="1"/>
      </rPr>
      <t>iii</t>
    </r>
  </si>
  <si>
    <t>iii EPA GHG Report 40 CFR 98</t>
  </si>
  <si>
    <r>
      <t>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e</t>
    </r>
    <r>
      <rPr>
        <vertAlign val="superscript"/>
        <sz val="12"/>
        <rFont val="Times New Roman"/>
        <family val="1"/>
      </rPr>
      <t>ii</t>
    </r>
  </si>
  <si>
    <t>ii EPA GHG Report 40 CFR 98</t>
  </si>
  <si>
    <r>
      <t>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e</t>
    </r>
    <r>
      <rPr>
        <vertAlign val="superscript"/>
        <sz val="12"/>
        <rFont val="Times New Roman"/>
        <family val="1"/>
      </rPr>
      <t>iv</t>
    </r>
  </si>
  <si>
    <t>iv EPA GHG Report 40 CFR 98</t>
  </si>
  <si>
    <r>
      <t>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e</t>
    </r>
    <r>
      <rPr>
        <vertAlign val="superscript"/>
        <sz val="12"/>
        <rFont val="Times New Roman"/>
        <family val="1"/>
      </rPr>
      <t>iii</t>
    </r>
  </si>
  <si>
    <t xml:space="preserve">AP-42, Fifth Edition, Volume I, Chapter 3.1: </t>
  </si>
  <si>
    <t>AP-42 Fifth Edition, Volume I, Chapter 3.1</t>
  </si>
  <si>
    <t>0.288 lb/MMBTU</t>
  </si>
  <si>
    <t>Factores de Emisión AP-42 Sect. 3.1</t>
  </si>
  <si>
    <t>Permit Limit (PFE-50-0307-0286-I-II-C)</t>
  </si>
  <si>
    <t>gals</t>
  </si>
  <si>
    <t>(157)*%S lb/1000gal</t>
  </si>
  <si>
    <t>157*%S</t>
  </si>
  <si>
    <t>157*%S lbs/1000gal</t>
  </si>
  <si>
    <t>157*%S lb/1000gal</t>
  </si>
  <si>
    <t>CO2e</t>
  </si>
  <si>
    <t>lbs/gal</t>
  </si>
  <si>
    <t>lbs/scf</t>
  </si>
  <si>
    <t>0.1205 lbs/SCF</t>
  </si>
  <si>
    <r>
      <t>CO2e</t>
    </r>
    <r>
      <rPr>
        <sz val="10"/>
        <rFont val="Arial"/>
        <family val="2"/>
      </rPr>
      <t xml:space="preserve"> =</t>
    </r>
  </si>
  <si>
    <t>163.61 lb/MMBtu (40 CFR 98, Subpart C)</t>
  </si>
  <si>
    <t>Cálculos Emisiones CO2e</t>
  </si>
  <si>
    <t>eGGRT GHG Report</t>
  </si>
  <si>
    <t>22.578 lbs/gal</t>
  </si>
  <si>
    <t>22.578 lb/gal</t>
  </si>
  <si>
    <t>40 CFR 98</t>
  </si>
  <si>
    <t>Palo Seco MobilePacs</t>
  </si>
  <si>
    <t>Gallons Distillate</t>
  </si>
  <si>
    <t>SCF Natural Gas</t>
  </si>
  <si>
    <t>PSMP1</t>
  </si>
  <si>
    <t>PSMP2</t>
  </si>
  <si>
    <t>PSMP3</t>
  </si>
  <si>
    <t>MP1</t>
  </si>
  <si>
    <t>MP2</t>
  </si>
  <si>
    <t>MP3</t>
  </si>
  <si>
    <t>[Consumo de Combustible #2 en galones/month) * ( Valor Calorífico BC 0.138 MMBtu/gal)</t>
  </si>
  <si>
    <t>+ (Consumo Gas Natural SCF/month) * (Valor Calorífico GN 1,026 MMBtu/SCF*10^6)]</t>
  </si>
  <si>
    <t>Consumo #2 2022 =</t>
  </si>
  <si>
    <t>Consumo NG 2022 =</t>
  </si>
  <si>
    <t>Cómputo de Emisiones Actuales FEBRERO 2022- Daguao Unidad 1</t>
  </si>
  <si>
    <t>Cómputo de Emisiones Actuales FEBRERO 2022- Daguao Unidad 2</t>
  </si>
  <si>
    <t>San Juan BC Consumption 2022</t>
  </si>
  <si>
    <t>SJ #2FO Consumption 2022</t>
  </si>
  <si>
    <t>San Juan Natural Gas Consumtion 2022</t>
  </si>
  <si>
    <t>Consumo #6 2022 =</t>
  </si>
  <si>
    <t>24.808 lbs/gal</t>
  </si>
  <si>
    <t>24.891 lbs/gal</t>
  </si>
  <si>
    <t>25.036 lb/gal</t>
  </si>
  <si>
    <t>24.632 lb/gal</t>
  </si>
  <si>
    <t>Ejemplo Cómputo de Emisiones FEBRERO 2024 - Termoleléctrica Aguirre  1 y Aguirre 2</t>
  </si>
  <si>
    <t>Ejemplo Cómputo de Emisiones FEBRERO 2024 - Aguirre (Ciclo Combinado + Turbinas de Gas)</t>
  </si>
  <si>
    <t xml:space="preserve">           PFE-TV-4911-63-0419-0235</t>
  </si>
  <si>
    <t>PFE-TV-4911-65-0609-0214</t>
  </si>
  <si>
    <t xml:space="preserve">          PFE-TV-4911-70-0319-0239</t>
  </si>
  <si>
    <t>PFE-4911-31-0306-0429</t>
  </si>
  <si>
    <t xml:space="preserve">        PFE-TV-4911-19-0614-0423</t>
  </si>
  <si>
    <t>PFE-TV-4911-77-1216-0974</t>
  </si>
  <si>
    <t>PFE-TV-4911-74-1014-1016</t>
  </si>
  <si>
    <t xml:space="preserve">        PFE-TV-4911-30-0914-0939</t>
  </si>
  <si>
    <t>year</t>
  </si>
  <si>
    <t>horas</t>
  </si>
  <si>
    <r>
      <t>Cálculos Emisiones SO</t>
    </r>
    <r>
      <rPr>
        <vertAlign val="subscript"/>
        <sz val="10"/>
        <rFont val="Arial"/>
        <family val="2"/>
      </rPr>
      <t>x</t>
    </r>
  </si>
  <si>
    <t>Cambalache 3</t>
  </si>
  <si>
    <t>Cambalache 2</t>
  </si>
  <si>
    <t>Cambalache 1</t>
  </si>
  <si>
    <t xml:space="preserve">horas     </t>
  </si>
  <si>
    <t>Horas de Operacion @ 100 %</t>
  </si>
  <si>
    <t>hrs</t>
  </si>
  <si>
    <t>Hrs @60% Carga</t>
  </si>
  <si>
    <t>Hrs @100% Carga</t>
  </si>
  <si>
    <r>
      <t>[(</t>
    </r>
    <r>
      <rPr>
        <b/>
        <sz val="10"/>
        <rFont val="Arial"/>
        <family val="2"/>
      </rPr>
      <t>0.023 lb/hr</t>
    </r>
    <r>
      <rPr>
        <sz val="10"/>
        <rFont val="Arial"/>
        <family val="2"/>
      </rPr>
      <t xml:space="preserve"> @100% carga*horas @100% carga)+(</t>
    </r>
    <r>
      <rPr>
        <b/>
        <sz val="10"/>
        <rFont val="Arial"/>
        <family val="2"/>
      </rPr>
      <t>0.016 lb/hr</t>
    </r>
    <r>
      <rPr>
        <sz val="10"/>
        <rFont val="Arial"/>
        <family val="2"/>
      </rPr>
      <t xml:space="preserve"> @60% carga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*horas @60% carga)]/(2000 ton/lb)</t>
    </r>
  </si>
  <si>
    <t>Pb           =</t>
  </si>
  <si>
    <t>CEMS</t>
  </si>
  <si>
    <r>
      <t>[(</t>
    </r>
    <r>
      <rPr>
        <b/>
        <sz val="10"/>
        <rFont val="Arial"/>
        <family val="2"/>
      </rPr>
      <t>13 lb/hr</t>
    </r>
    <r>
      <rPr>
        <sz val="10"/>
        <rFont val="Arial"/>
        <family val="2"/>
      </rPr>
      <t xml:space="preserve"> @100% carga * horas @100% carga)+(</t>
    </r>
    <r>
      <rPr>
        <b/>
        <sz val="10"/>
        <rFont val="Arial"/>
        <family val="2"/>
      </rPr>
      <t>11 lb/hr</t>
    </r>
    <r>
      <rPr>
        <sz val="10"/>
        <rFont val="Arial"/>
        <family val="2"/>
      </rPr>
      <t xml:space="preserve"> @60% carga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*  horas @60% carga)]/(2000 ton/lb)</t>
    </r>
  </si>
  <si>
    <t>VOC        =</t>
  </si>
  <si>
    <r>
      <t>NO</t>
    </r>
    <r>
      <rPr>
        <vertAlign val="subscript"/>
        <sz val="10"/>
        <rFont val="Arial"/>
        <family val="2"/>
      </rPr>
      <t>x</t>
    </r>
  </si>
  <si>
    <r>
      <t>[(</t>
    </r>
    <r>
      <rPr>
        <b/>
        <sz val="10"/>
        <rFont val="Arial"/>
        <family val="2"/>
      </rPr>
      <t>137 lb/hr</t>
    </r>
    <r>
      <rPr>
        <sz val="10"/>
        <rFont val="Arial"/>
        <family val="2"/>
      </rPr>
      <t xml:space="preserve"> @100% carga * horas @100% carga)+(</t>
    </r>
    <r>
      <rPr>
        <b/>
        <sz val="10"/>
        <rFont val="Arial"/>
        <family val="2"/>
      </rPr>
      <t>137 lb/hr</t>
    </r>
    <r>
      <rPr>
        <sz val="10"/>
        <rFont val="Arial"/>
        <family val="2"/>
      </rPr>
      <t xml:space="preserve"> @60% carga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*  horas @60% carga)]/(2000 ton/lb)</t>
    </r>
  </si>
  <si>
    <r>
      <t>SO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        =</t>
    </r>
  </si>
  <si>
    <r>
      <t>[(</t>
    </r>
    <r>
      <rPr>
        <b/>
        <sz val="10"/>
        <rFont val="Arial"/>
        <family val="2"/>
      </rPr>
      <t>51 lb/hr</t>
    </r>
    <r>
      <rPr>
        <sz val="10"/>
        <rFont val="Arial"/>
        <family val="2"/>
      </rPr>
      <t xml:space="preserve"> @100% carga * horas @100% carga)+(</t>
    </r>
    <r>
      <rPr>
        <b/>
        <sz val="10"/>
        <rFont val="Arial"/>
        <family val="2"/>
      </rPr>
      <t>51 lb/hr</t>
    </r>
    <r>
      <rPr>
        <sz val="10"/>
        <rFont val="Arial"/>
        <family val="2"/>
      </rPr>
      <t xml:space="preserve"> @60% carga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*  horas @ 60%carga)]/(2000 ton/lb)</t>
    </r>
  </si>
  <si>
    <r>
      <t>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       =</t>
    </r>
  </si>
  <si>
    <t>Cálculos con los Factores de Emisión AP-42</t>
  </si>
  <si>
    <t>Horas de Operacion @ 60 %</t>
  </si>
  <si>
    <t xml:space="preserve">        PFE-TV-4911-07-0897-0043</t>
  </si>
  <si>
    <t>Cambalache Emissions 2026
As reported in CEMS</t>
  </si>
  <si>
    <t>FEBRERO 2026</t>
  </si>
  <si>
    <t>CS #2 FO Consumption 2026</t>
  </si>
  <si>
    <t>Costa Sur Natural Gas Consumtion 2026</t>
  </si>
  <si>
    <t>Costa Sur BC Consumption 2026</t>
  </si>
  <si>
    <t>Cómputo de Emisiones Actuales - Costa Sur (Turbinas 1-1 &amp; 1-2) FEBRERO 2026</t>
  </si>
  <si>
    <t>Cómputo de Emisiones Actuales FEBRERO 2026 - Costa Sur 3 y 4</t>
  </si>
  <si>
    <t>Cómputo de Emisiones Actuales para Bunker C y Gas Natural - Costa Sur FEBRERO 2026 - Unidad 5*</t>
  </si>
  <si>
    <t>Cómputo de Emisiones Actuales para Bunker C y Gas Natural - Costa Sur FEBRERO 2026 - Unidad 6*</t>
  </si>
  <si>
    <t>Jobos FO#2 2026</t>
  </si>
  <si>
    <t>YabucoaFO#2 2026</t>
  </si>
  <si>
    <t>Daguao FO#2 2026</t>
  </si>
  <si>
    <t>Vega Baja FO#2 2026</t>
  </si>
  <si>
    <t>Mayaguez FO#2 2026</t>
  </si>
  <si>
    <t>Cambalache FO#2 2026</t>
  </si>
  <si>
    <t>Cómputo de Emisiones 2026 - Central Cambalache Unidad 3</t>
  </si>
  <si>
    <t>Cómputo de Emisiones 2026 - Central Cambalache Unidad 2</t>
  </si>
  <si>
    <t>6Cómputo de Emisiones 2026 - Central Cambalache Unidad 2</t>
  </si>
  <si>
    <t>Cómputo de Emisiones Actuales FEBRERO 2026 - YAGT1-1</t>
  </si>
  <si>
    <t>Cómputo de Emisiones Actuales FEBRERO 2026 - YAGT1-2</t>
  </si>
  <si>
    <t>Cómputo de Emisiones Actuales FEBRERO 2026 - Vega Baja VBGT1-1</t>
  </si>
  <si>
    <t>Cómputo de Emisiones Actuales FEBRERO 2026 - Vega Baja VBGT1-2</t>
  </si>
  <si>
    <t>Cómputo de Emisiones Actuales FEBRERO 2026 - JOGT1-1</t>
  </si>
  <si>
    <t>Cómputo de Emisiones Actuales FEBRERO 2026 - JOGT1-2</t>
  </si>
  <si>
    <t>Cómputo de Emisiones Actuales FEBRERO 2026- Mayagüez MAYGT5</t>
  </si>
  <si>
    <t>Cómputo de Emisiones Actuales FEBRERO 2026- Mayagüez MAYGT6</t>
  </si>
  <si>
    <t>Cómputo de Emisiones Actuales FEBRERO 2026 - Mayagüez MAYGT7</t>
  </si>
  <si>
    <t>Cómputo de Emisiones Actuales FEBRERO 2026 - Mayagüez MAYGT5</t>
  </si>
  <si>
    <t>Cómputo de Emisiones Actuales FEBRERO 2026 - Mayagüez MAYGT6</t>
  </si>
  <si>
    <t>Cómputo de Emisiones Actuales FEBRERO 2026 - Mayagüez MAYGT8</t>
  </si>
  <si>
    <t>Cómputo de Emisiones Actuales  FEBRERO 2026 - San Juan 7-10</t>
  </si>
  <si>
    <t>Cómputo de Emisiones Actuales para Distillate Oil y Gas Natural - San Juan FEBRERO 2026 - Unidad 5</t>
  </si>
  <si>
    <t>Aguirre Turbines #2 FO Consumption 2026</t>
  </si>
  <si>
    <t>Aguirre CC #2 FO Consumption 2026</t>
  </si>
  <si>
    <t>Aguirre BC Consumption 2026</t>
  </si>
  <si>
    <t>Palo Seco #2 FO Consumtion 2026</t>
  </si>
  <si>
    <t>Palo Seco BC Consumption 2026</t>
  </si>
  <si>
    <t>Cómputo de Emisiones Actuales FEBRERO 2026 - Palo Seco (Termo) - Unidades 1 a 4</t>
  </si>
  <si>
    <t>Cómputo de Emisiones Actuales FEBRERO 2026 - Palo Seco (Turbinas) - Bloques 1 a 3</t>
  </si>
  <si>
    <t>Cómputo de Emisiones Actuales para Distillate OIl y Gas Natural - Palo Seco FEBRERO 2026 - MobilePacs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</si>
</sst>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\-yyyy"/>
    <numFmt numFmtId="165" formatCode="0.000"/>
    <numFmt numFmtId="166" formatCode="0.0"/>
    <numFmt numFmtId="167" formatCode="#,##0.000"/>
    <numFmt numFmtId="168" formatCode="0.0000"/>
    <numFmt numFmtId="169" formatCode="#,##0.0000"/>
    <numFmt numFmtId="170" formatCode="0.00000"/>
    <numFmt numFmtId="171" formatCode="00000"/>
    <numFmt numFmtId="172" formatCode="#,##0.00000"/>
    <numFmt numFmtId="173" formatCode="0.0E+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indexed="22"/>
      </bottom>
      <diagonal style="medium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indexed="22"/>
      </bottom>
      <diagonal style="medium">
        <color auto="1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 style="thin">
        <color indexed="22"/>
      </bottom>
      <diagonal style="medium">
        <color auto="1"/>
      </diagonal>
    </border>
    <border diagonalDown="1">
      <left style="medium">
        <color auto="1"/>
      </left>
      <right style="thin">
        <color auto="1"/>
      </right>
      <top style="thin">
        <color indexed="22"/>
      </top>
      <bottom style="thin">
        <color indexed="22"/>
      </bottom>
      <diagonal style="medium">
        <color auto="1"/>
      </diagonal>
    </border>
    <border diagonalDown="1"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 style="medium">
        <color auto="1"/>
      </diagonal>
    </border>
    <border diagonalDown="1">
      <left style="thin">
        <color auto="1"/>
      </left>
      <right style="medium">
        <color auto="1"/>
      </right>
      <top style="thin">
        <color indexed="22"/>
      </top>
      <bottom style="thin">
        <color indexed="22"/>
      </bottom>
      <diagonal style="medium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7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12" fillId="0" borderId="0">
      <alignment vertical="top"/>
    </xf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6" fillId="0" borderId="0"/>
    <xf numFmtId="0" fontId="30" fillId="0" borderId="159" applyNumberFormat="0" applyFill="0" applyAlignment="0" applyProtection="0"/>
    <xf numFmtId="0" fontId="31" fillId="0" borderId="160" applyNumberFormat="0" applyFill="0" applyAlignment="0" applyProtection="0"/>
    <xf numFmtId="0" fontId="32" fillId="0" borderId="161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162" applyNumberFormat="0" applyAlignment="0" applyProtection="0"/>
    <xf numFmtId="0" fontId="37" fillId="8" borderId="163" applyNumberFormat="0" applyAlignment="0" applyProtection="0"/>
    <xf numFmtId="0" fontId="38" fillId="8" borderId="162" applyNumberFormat="0" applyAlignment="0" applyProtection="0"/>
    <xf numFmtId="0" fontId="39" fillId="0" borderId="164" applyNumberFormat="0" applyFill="0" applyAlignment="0" applyProtection="0"/>
    <xf numFmtId="0" fontId="28" fillId="9" borderId="165" applyNumberFormat="0" applyAlignment="0" applyProtection="0"/>
    <xf numFmtId="0" fontId="19" fillId="0" borderId="0" applyNumberFormat="0" applyFill="0" applyBorder="0" applyAlignment="0" applyProtection="0"/>
    <xf numFmtId="0" fontId="6" fillId="10" borderId="166" applyNumberFormat="0" applyFont="0" applyAlignment="0" applyProtection="0"/>
    <xf numFmtId="0" fontId="40" fillId="0" borderId="0" applyNumberFormat="0" applyFill="0" applyBorder="0" applyAlignment="0" applyProtection="0"/>
    <xf numFmtId="0" fontId="1" fillId="0" borderId="167" applyNumberFormat="0" applyFill="0" applyAlignment="0" applyProtection="0"/>
    <xf numFmtId="0" fontId="4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4" fillId="0" borderId="0"/>
    <xf numFmtId="0" fontId="2" fillId="0" borderId="0"/>
    <xf numFmtId="0" fontId="7" fillId="0" borderId="0">
      <alignment vertical="top"/>
    </xf>
    <xf numFmtId="0" fontId="2" fillId="0" borderId="0"/>
  </cellStyleXfs>
  <cellXfs count="1044">
    <xf numFmtId="0" fontId="0" fillId="0" borderId="0" xfId="0"/>
    <xf numFmtId="0" fontId="7" fillId="0" borderId="0" xfId="8" applyAlignment="1"/>
    <xf numFmtId="0" fontId="7" fillId="0" borderId="0" xfId="8" applyAlignment="1">
      <alignment horizontal="center"/>
    </xf>
    <xf numFmtId="4" fontId="7" fillId="0" borderId="0" xfId="8" applyNumberFormat="1" applyAlignment="1"/>
    <xf numFmtId="0" fontId="7" fillId="0" borderId="0" xfId="8" applyAlignment="1">
      <alignment horizontal="right"/>
    </xf>
    <xf numFmtId="0" fontId="7" fillId="0" borderId="4" xfId="8" applyBorder="1" applyAlignment="1">
      <alignment horizontal="center"/>
    </xf>
    <xf numFmtId="0" fontId="7" fillId="0" borderId="15" xfId="8" applyBorder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4" xfId="8" applyBorder="1" applyAlignment="1">
      <alignment horizontal="center" vertical="center"/>
    </xf>
    <xf numFmtId="4" fontId="7" fillId="0" borderId="7" xfId="8" applyNumberFormat="1" applyBorder="1" applyAlignment="1">
      <alignment horizontal="center" vertical="center"/>
    </xf>
    <xf numFmtId="0" fontId="7" fillId="0" borderId="7" xfId="8" applyBorder="1" applyAlignment="1">
      <alignment horizontal="center" vertical="center"/>
    </xf>
    <xf numFmtId="0" fontId="7" fillId="0" borderId="25" xfId="8" applyBorder="1" applyAlignment="1"/>
    <xf numFmtId="0" fontId="7" fillId="0" borderId="27" xfId="8" applyBorder="1" applyAlignment="1"/>
    <xf numFmtId="0" fontId="7" fillId="0" borderId="28" xfId="8" applyBorder="1" applyAlignment="1"/>
    <xf numFmtId="0" fontId="7" fillId="0" borderId="31" xfId="8" applyBorder="1" applyAlignment="1"/>
    <xf numFmtId="0" fontId="7" fillId="0" borderId="32" xfId="8" applyBorder="1" applyAlignment="1"/>
    <xf numFmtId="1" fontId="7" fillId="0" borderId="33" xfId="8" applyNumberFormat="1" applyBorder="1" applyAlignment="1"/>
    <xf numFmtId="0" fontId="7" fillId="0" borderId="34" xfId="8" applyBorder="1" applyAlignment="1"/>
    <xf numFmtId="0" fontId="7" fillId="0" borderId="36" xfId="8" applyBorder="1" applyAlignment="1"/>
    <xf numFmtId="0" fontId="12" fillId="0" borderId="37" xfId="8" applyFont="1" applyBorder="1" applyAlignment="1"/>
    <xf numFmtId="0" fontId="7" fillId="0" borderId="38" xfId="8" applyBorder="1" applyAlignment="1"/>
    <xf numFmtId="4" fontId="7" fillId="0" borderId="34" xfId="8" applyNumberFormat="1" applyBorder="1" applyAlignment="1">
      <alignment horizontal="left"/>
    </xf>
    <xf numFmtId="43" fontId="0" fillId="0" borderId="0" xfId="7" applyFont="1"/>
    <xf numFmtId="165" fontId="12" fillId="0" borderId="7" xfId="8" applyNumberFormat="1" applyFont="1" applyBorder="1" applyAlignment="1">
      <alignment horizontal="center" vertical="center"/>
    </xf>
    <xf numFmtId="0" fontId="12" fillId="0" borderId="0" xfId="9" applyAlignment="1"/>
    <xf numFmtId="1" fontId="12" fillId="0" borderId="0" xfId="9" applyNumberFormat="1" applyAlignment="1"/>
    <xf numFmtId="0" fontId="12" fillId="0" borderId="0" xfId="9" applyAlignment="1">
      <alignment horizontal="center"/>
    </xf>
    <xf numFmtId="4" fontId="12" fillId="0" borderId="0" xfId="9" applyNumberFormat="1" applyAlignment="1"/>
    <xf numFmtId="0" fontId="12" fillId="0" borderId="0" xfId="9" applyAlignment="1">
      <alignment horizontal="right"/>
    </xf>
    <xf numFmtId="0" fontId="12" fillId="0" borderId="4" xfId="9" applyBorder="1" applyAlignment="1">
      <alignment horizontal="center"/>
    </xf>
    <xf numFmtId="0" fontId="12" fillId="0" borderId="15" xfId="9" applyBorder="1" applyAlignment="1">
      <alignment horizontal="center" vertical="center"/>
    </xf>
    <xf numFmtId="0" fontId="12" fillId="0" borderId="0" xfId="9" applyAlignment="1">
      <alignment horizontal="center" vertical="center"/>
    </xf>
    <xf numFmtId="165" fontId="12" fillId="0" borderId="7" xfId="9" applyNumberFormat="1" applyBorder="1" applyAlignment="1">
      <alignment horizontal="center" vertical="center"/>
    </xf>
    <xf numFmtId="0" fontId="12" fillId="0" borderId="4" xfId="9" applyBorder="1" applyAlignment="1">
      <alignment horizontal="center" vertical="center"/>
    </xf>
    <xf numFmtId="4" fontId="12" fillId="0" borderId="7" xfId="9" applyNumberFormat="1" applyBorder="1" applyAlignment="1">
      <alignment horizontal="center" vertical="center"/>
    </xf>
    <xf numFmtId="0" fontId="12" fillId="0" borderId="7" xfId="9" applyBorder="1" applyAlignment="1">
      <alignment horizontal="center" vertical="center"/>
    </xf>
    <xf numFmtId="0" fontId="12" fillId="0" borderId="3" xfId="9" applyBorder="1" applyAlignment="1">
      <alignment horizontal="center" vertical="center"/>
    </xf>
    <xf numFmtId="0" fontId="12" fillId="0" borderId="2" xfId="9" applyBorder="1" applyAlignment="1">
      <alignment horizontal="center" vertical="center"/>
    </xf>
    <xf numFmtId="0" fontId="12" fillId="0" borderId="51" xfId="9" applyBorder="1" applyAlignment="1"/>
    <xf numFmtId="1" fontId="12" fillId="0" borderId="53" xfId="9" applyNumberFormat="1" applyBorder="1" applyAlignment="1"/>
    <xf numFmtId="0" fontId="12" fillId="0" borderId="50" xfId="9" applyBorder="1" applyAlignment="1"/>
    <xf numFmtId="0" fontId="12" fillId="0" borderId="5" xfId="9" applyBorder="1" applyAlignment="1"/>
    <xf numFmtId="0" fontId="12" fillId="0" borderId="56" xfId="9" applyBorder="1" applyAlignment="1"/>
    <xf numFmtId="0" fontId="12" fillId="0" borderId="37" xfId="9" applyBorder="1" applyAlignment="1"/>
    <xf numFmtId="0" fontId="12" fillId="0" borderId="36" xfId="9" applyBorder="1" applyAlignment="1"/>
    <xf numFmtId="0" fontId="12" fillId="0" borderId="57" xfId="9" applyBorder="1" applyAlignment="1"/>
    <xf numFmtId="0" fontId="12" fillId="0" borderId="38" xfId="9" applyBorder="1" applyAlignment="1"/>
    <xf numFmtId="0" fontId="12" fillId="0" borderId="52" xfId="9" applyBorder="1" applyAlignment="1"/>
    <xf numFmtId="0" fontId="12" fillId="0" borderId="53" xfId="9" applyBorder="1" applyAlignment="1"/>
    <xf numFmtId="4" fontId="12" fillId="0" borderId="34" xfId="9" applyNumberFormat="1" applyBorder="1" applyAlignment="1">
      <alignment vertical="center"/>
    </xf>
    <xf numFmtId="0" fontId="8" fillId="0" borderId="0" xfId="9" applyFont="1" applyAlignment="1"/>
    <xf numFmtId="0" fontId="10" fillId="0" borderId="0" xfId="9" applyFont="1" applyAlignment="1"/>
    <xf numFmtId="4" fontId="12" fillId="0" borderId="10" xfId="9" applyNumberFormat="1" applyBorder="1" applyAlignment="1">
      <alignment horizontal="center" vertical="center"/>
    </xf>
    <xf numFmtId="4" fontId="12" fillId="0" borderId="55" xfId="9" applyNumberFormat="1" applyBorder="1" applyAlignment="1">
      <alignment horizontal="center" vertical="center"/>
    </xf>
    <xf numFmtId="4" fontId="12" fillId="0" borderId="12" xfId="9" applyNumberFormat="1" applyBorder="1" applyAlignment="1">
      <alignment horizontal="center" vertical="center"/>
    </xf>
    <xf numFmtId="4" fontId="12" fillId="0" borderId="0" xfId="9" applyNumberFormat="1" applyAlignment="1">
      <alignment vertical="center"/>
    </xf>
    <xf numFmtId="0" fontId="12" fillId="0" borderId="15" xfId="9" applyBorder="1" applyAlignment="1"/>
    <xf numFmtId="0" fontId="12" fillId="0" borderId="0" xfId="9" applyAlignment="1">
      <alignment horizontal="left"/>
    </xf>
    <xf numFmtId="2" fontId="12" fillId="0" borderId="0" xfId="9" applyNumberFormat="1" applyAlignment="1">
      <alignment horizontal="center" vertical="center"/>
    </xf>
    <xf numFmtId="2" fontId="12" fillId="0" borderId="7" xfId="9" applyNumberFormat="1" applyBorder="1" applyAlignment="1">
      <alignment horizontal="center" vertical="center"/>
    </xf>
    <xf numFmtId="1" fontId="12" fillId="0" borderId="7" xfId="9" applyNumberFormat="1" applyBorder="1" applyAlignment="1">
      <alignment horizontal="center" vertical="center"/>
    </xf>
    <xf numFmtId="168" fontId="12" fillId="0" borderId="7" xfId="9" applyNumberFormat="1" applyBorder="1" applyAlignment="1">
      <alignment horizontal="center" vertical="center"/>
    </xf>
    <xf numFmtId="0" fontId="11" fillId="0" borderId="0" xfId="9" applyFont="1" applyAlignment="1"/>
    <xf numFmtId="0" fontId="12" fillId="0" borderId="0" xfId="9" applyAlignment="1">
      <alignment horizontal="left" vertical="center"/>
    </xf>
    <xf numFmtId="165" fontId="12" fillId="0" borderId="0" xfId="9" applyNumberFormat="1" applyAlignment="1"/>
    <xf numFmtId="0" fontId="12" fillId="0" borderId="4" xfId="9" applyBorder="1" applyAlignment="1"/>
    <xf numFmtId="0" fontId="12" fillId="0" borderId="7" xfId="9" applyBorder="1" applyAlignment="1"/>
    <xf numFmtId="4" fontId="12" fillId="0" borderId="0" xfId="9" applyNumberFormat="1" applyAlignment="1">
      <alignment horizontal="right" vertical="center"/>
    </xf>
    <xf numFmtId="166" fontId="12" fillId="0" borderId="7" xfId="9" applyNumberFormat="1" applyBorder="1" applyAlignment="1">
      <alignment horizontal="center" vertical="center"/>
    </xf>
    <xf numFmtId="43" fontId="12" fillId="0" borderId="0" xfId="9" applyNumberFormat="1" applyAlignment="1">
      <alignment vertical="center"/>
    </xf>
    <xf numFmtId="0" fontId="12" fillId="0" borderId="0" xfId="9" applyAlignment="1">
      <alignment vertical="center"/>
    </xf>
    <xf numFmtId="4" fontId="7" fillId="0" borderId="37" xfId="8" applyNumberFormat="1" applyBorder="1" applyAlignment="1">
      <alignment horizontal="left" vertical="center"/>
    </xf>
    <xf numFmtId="4" fontId="12" fillId="0" borderId="37" xfId="9" applyNumberFormat="1" applyBorder="1" applyAlignment="1">
      <alignment horizontal="right" vertical="center"/>
    </xf>
    <xf numFmtId="4" fontId="12" fillId="0" borderId="54" xfId="9" applyNumberFormat="1" applyBorder="1" applyAlignment="1">
      <alignment horizontal="center" vertical="center"/>
    </xf>
    <xf numFmtId="4" fontId="12" fillId="0" borderId="11" xfId="9" applyNumberFormat="1" applyBorder="1" applyAlignment="1">
      <alignment horizontal="center" vertical="center"/>
    </xf>
    <xf numFmtId="0" fontId="8" fillId="0" borderId="0" xfId="8" applyFont="1" applyAlignment="1"/>
    <xf numFmtId="0" fontId="10" fillId="0" borderId="0" xfId="8" applyFont="1" applyAlignment="1"/>
    <xf numFmtId="0" fontId="11" fillId="0" borderId="0" xfId="8" applyFont="1" applyAlignment="1"/>
    <xf numFmtId="0" fontId="12" fillId="0" borderId="4" xfId="8" applyFont="1" applyBorder="1" applyAlignment="1"/>
    <xf numFmtId="0" fontId="11" fillId="0" borderId="65" xfId="8" applyFont="1" applyBorder="1" applyAlignment="1">
      <alignment horizontal="center"/>
    </xf>
    <xf numFmtId="0" fontId="11" fillId="0" borderId="63" xfId="8" applyFont="1" applyBorder="1" applyAlignment="1">
      <alignment horizontal="center"/>
    </xf>
    <xf numFmtId="0" fontId="11" fillId="0" borderId="66" xfId="8" applyFont="1" applyBorder="1" applyAlignment="1">
      <alignment horizontal="center"/>
    </xf>
    <xf numFmtId="0" fontId="11" fillId="0" borderId="64" xfId="8" applyFont="1" applyBorder="1" applyAlignment="1">
      <alignment horizontal="center"/>
    </xf>
    <xf numFmtId="4" fontId="7" fillId="0" borderId="2" xfId="8" applyNumberFormat="1" applyBorder="1" applyAlignment="1">
      <alignment horizontal="center"/>
    </xf>
    <xf numFmtId="4" fontId="7" fillId="0" borderId="62" xfId="8" applyNumberFormat="1" applyBorder="1" applyAlignment="1">
      <alignment horizontal="center"/>
    </xf>
    <xf numFmtId="2" fontId="7" fillId="0" borderId="2" xfId="8" applyNumberFormat="1" applyBorder="1" applyAlignment="1">
      <alignment horizontal="center"/>
    </xf>
    <xf numFmtId="43" fontId="7" fillId="0" borderId="11" xfId="8" applyNumberFormat="1" applyBorder="1" applyAlignment="1">
      <alignment horizontal="center"/>
    </xf>
    <xf numFmtId="43" fontId="7" fillId="0" borderId="67" xfId="8" applyNumberFormat="1" applyBorder="1" applyAlignment="1">
      <alignment horizontal="center"/>
    </xf>
    <xf numFmtId="0" fontId="11" fillId="0" borderId="87" xfId="9" applyFont="1" applyBorder="1" applyAlignment="1">
      <alignment horizontal="center" vertical="center"/>
    </xf>
    <xf numFmtId="0" fontId="11" fillId="0" borderId="23" xfId="9" applyFont="1" applyBorder="1" applyAlignment="1">
      <alignment horizontal="center" vertical="center"/>
    </xf>
    <xf numFmtId="0" fontId="11" fillId="0" borderId="91" xfId="9" applyFont="1" applyBorder="1" applyAlignment="1">
      <alignment horizontal="center" vertical="center"/>
    </xf>
    <xf numFmtId="4" fontId="12" fillId="0" borderId="45" xfId="9" applyNumberFormat="1" applyBorder="1" applyAlignment="1">
      <alignment horizontal="center" vertical="center"/>
    </xf>
    <xf numFmtId="4" fontId="12" fillId="0" borderId="6" xfId="9" applyNumberFormat="1" applyBorder="1" applyAlignment="1">
      <alignment horizontal="center" vertical="center"/>
    </xf>
    <xf numFmtId="4" fontId="12" fillId="0" borderId="61" xfId="9" applyNumberFormat="1" applyBorder="1" applyAlignment="1">
      <alignment horizontal="center" vertical="center"/>
    </xf>
    <xf numFmtId="2" fontId="12" fillId="0" borderId="0" xfId="9" applyNumberFormat="1" applyAlignment="1"/>
    <xf numFmtId="3" fontId="12" fillId="0" borderId="7" xfId="9" applyNumberFormat="1" applyBorder="1" applyAlignment="1"/>
    <xf numFmtId="0" fontId="12" fillId="0" borderId="15" xfId="9" applyBorder="1" applyAlignment="1">
      <alignment horizontal="center"/>
    </xf>
    <xf numFmtId="0" fontId="12" fillId="0" borderId="7" xfId="9" applyBorder="1" applyAlignment="1">
      <alignment horizontal="center"/>
    </xf>
    <xf numFmtId="0" fontId="12" fillId="0" borderId="76" xfId="9" applyBorder="1" applyAlignment="1"/>
    <xf numFmtId="0" fontId="12" fillId="0" borderId="75" xfId="9" applyBorder="1" applyAlignment="1"/>
    <xf numFmtId="1" fontId="12" fillId="0" borderId="78" xfId="9" applyNumberFormat="1" applyBorder="1" applyAlignment="1"/>
    <xf numFmtId="0" fontId="12" fillId="0" borderId="83" xfId="9" applyBorder="1" applyAlignment="1"/>
    <xf numFmtId="0" fontId="12" fillId="0" borderId="94" xfId="9" applyBorder="1" applyAlignment="1"/>
    <xf numFmtId="0" fontId="12" fillId="0" borderId="93" xfId="9" applyBorder="1" applyAlignment="1"/>
    <xf numFmtId="0" fontId="12" fillId="0" borderId="60" xfId="9" applyBorder="1" applyAlignment="1"/>
    <xf numFmtId="0" fontId="12" fillId="0" borderId="74" xfId="9" applyBorder="1" applyAlignment="1"/>
    <xf numFmtId="0" fontId="12" fillId="0" borderId="95" xfId="9" applyBorder="1" applyAlignment="1"/>
    <xf numFmtId="0" fontId="12" fillId="0" borderId="77" xfId="9" applyBorder="1" applyAlignment="1"/>
    <xf numFmtId="1" fontId="12" fillId="0" borderId="96" xfId="9" applyNumberFormat="1" applyBorder="1" applyAlignment="1"/>
    <xf numFmtId="0" fontId="12" fillId="0" borderId="9" xfId="9" applyBorder="1" applyAlignment="1"/>
    <xf numFmtId="4" fontId="12" fillId="0" borderId="29" xfId="9" applyNumberFormat="1" applyBorder="1" applyAlignment="1">
      <alignment horizontal="right" vertical="center"/>
    </xf>
    <xf numFmtId="0" fontId="12" fillId="0" borderId="30" xfId="9" applyBorder="1" applyAlignment="1"/>
    <xf numFmtId="4" fontId="12" fillId="0" borderId="7" xfId="9" applyNumberFormat="1" applyBorder="1" applyAlignment="1"/>
    <xf numFmtId="1" fontId="12" fillId="0" borderId="7" xfId="9" applyNumberFormat="1" applyBorder="1" applyAlignment="1">
      <alignment horizontal="center"/>
    </xf>
    <xf numFmtId="2" fontId="12" fillId="0" borderId="7" xfId="9" applyNumberFormat="1" applyBorder="1" applyAlignment="1">
      <alignment horizontal="center"/>
    </xf>
    <xf numFmtId="0" fontId="12" fillId="0" borderId="3" xfId="9" applyBorder="1" applyAlignment="1"/>
    <xf numFmtId="165" fontId="12" fillId="0" borderId="7" xfId="9" applyNumberFormat="1" applyBorder="1" applyAlignment="1"/>
    <xf numFmtId="4" fontId="12" fillId="0" borderId="8" xfId="9" applyNumberFormat="1" applyBorder="1" applyAlignment="1">
      <alignment horizontal="right" vertical="center"/>
    </xf>
    <xf numFmtId="0" fontId="12" fillId="0" borderId="70" xfId="9" applyBorder="1" applyAlignment="1"/>
    <xf numFmtId="0" fontId="12" fillId="0" borderId="69" xfId="9" applyBorder="1" applyAlignment="1"/>
    <xf numFmtId="0" fontId="0" fillId="0" borderId="70" xfId="0" applyBorder="1"/>
    <xf numFmtId="0" fontId="12" fillId="0" borderId="2" xfId="9" applyBorder="1" applyAlignment="1">
      <alignment horizontal="left"/>
    </xf>
    <xf numFmtId="2" fontId="12" fillId="0" borderId="0" xfId="9" applyNumberFormat="1" applyAlignment="1">
      <alignment horizontal="right" vertical="center"/>
    </xf>
    <xf numFmtId="4" fontId="12" fillId="0" borderId="0" xfId="9" applyNumberFormat="1" applyAlignment="1">
      <alignment horizontal="center" vertical="center"/>
    </xf>
    <xf numFmtId="0" fontId="11" fillId="0" borderId="0" xfId="9" applyFont="1" applyAlignment="1">
      <alignment horizontal="center"/>
    </xf>
    <xf numFmtId="0" fontId="12" fillId="0" borderId="0" xfId="9" applyAlignment="1">
      <alignment horizontal="right" vertical="center"/>
    </xf>
    <xf numFmtId="165" fontId="12" fillId="0" borderId="0" xfId="9" applyNumberFormat="1" applyAlignment="1">
      <alignment horizontal="center" vertical="center"/>
    </xf>
    <xf numFmtId="3" fontId="12" fillId="0" borderId="6" xfId="9" applyNumberFormat="1" applyBorder="1" applyAlignment="1">
      <alignment horizontal="center"/>
    </xf>
    <xf numFmtId="4" fontId="12" fillId="0" borderId="2" xfId="9" applyNumberFormat="1" applyBorder="1" applyAlignment="1">
      <alignment horizontal="center"/>
    </xf>
    <xf numFmtId="3" fontId="12" fillId="0" borderId="61" xfId="9" applyNumberFormat="1" applyBorder="1" applyAlignment="1">
      <alignment horizontal="center"/>
    </xf>
    <xf numFmtId="4" fontId="12" fillId="0" borderId="62" xfId="9" applyNumberFormat="1" applyBorder="1" applyAlignment="1">
      <alignment horizontal="center"/>
    </xf>
    <xf numFmtId="0" fontId="12" fillId="0" borderId="13" xfId="9" applyBorder="1" applyAlignment="1">
      <alignment horizontal="center"/>
    </xf>
    <xf numFmtId="0" fontId="12" fillId="0" borderId="14" xfId="9" applyBorder="1" applyAlignment="1">
      <alignment horizontal="center"/>
    </xf>
    <xf numFmtId="3" fontId="12" fillId="0" borderId="2" xfId="9" applyNumberFormat="1" applyBorder="1" applyAlignment="1">
      <alignment horizontal="center"/>
    </xf>
    <xf numFmtId="3" fontId="12" fillId="0" borderId="62" xfId="9" applyNumberFormat="1" applyBorder="1" applyAlignment="1">
      <alignment horizontal="center"/>
    </xf>
    <xf numFmtId="2" fontId="12" fillId="0" borderId="2" xfId="9" applyNumberFormat="1" applyBorder="1" applyAlignment="1">
      <alignment horizontal="center"/>
    </xf>
    <xf numFmtId="49" fontId="12" fillId="0" borderId="0" xfId="9" applyNumberFormat="1" applyAlignment="1">
      <alignment horizontal="right" vertical="center"/>
    </xf>
    <xf numFmtId="0" fontId="12" fillId="0" borderId="4" xfId="9" applyBorder="1" applyAlignment="1">
      <alignment vertical="center"/>
    </xf>
    <xf numFmtId="4" fontId="12" fillId="0" borderId="4" xfId="9" applyNumberFormat="1" applyBorder="1" applyAlignment="1">
      <alignment horizontal="right" vertical="center"/>
    </xf>
    <xf numFmtId="171" fontId="12" fillId="0" borderId="0" xfId="9" applyNumberFormat="1" applyAlignment="1">
      <alignment horizontal="center" vertical="center"/>
    </xf>
    <xf numFmtId="0" fontId="12" fillId="0" borderId="4" xfId="9" applyBorder="1" applyAlignment="1">
      <alignment horizontal="right" vertical="center"/>
    </xf>
    <xf numFmtId="49" fontId="12" fillId="0" borderId="0" xfId="9" applyNumberFormat="1" applyAlignment="1">
      <alignment vertical="center"/>
    </xf>
    <xf numFmtId="49" fontId="12" fillId="0" borderId="0" xfId="9" applyNumberFormat="1" applyAlignment="1">
      <alignment horizontal="left" vertical="center"/>
    </xf>
    <xf numFmtId="4" fontId="12" fillId="0" borderId="76" xfId="9" applyNumberFormat="1" applyBorder="1" applyAlignment="1">
      <alignment horizontal="center" vertical="center"/>
    </xf>
    <xf numFmtId="4" fontId="12" fillId="0" borderId="73" xfId="9" applyNumberFormat="1" applyBorder="1" applyAlignment="1">
      <alignment horizontal="center" vertical="center"/>
    </xf>
    <xf numFmtId="0" fontId="12" fillId="0" borderId="61" xfId="9" applyBorder="1" applyAlignment="1">
      <alignment horizontal="center" vertical="center"/>
    </xf>
    <xf numFmtId="0" fontId="12" fillId="0" borderId="75" xfId="9" applyBorder="1" applyAlignment="1">
      <alignment horizontal="center" vertical="center"/>
    </xf>
    <xf numFmtId="4" fontId="12" fillId="0" borderId="76" xfId="9" applyNumberFormat="1" applyBorder="1" applyAlignment="1">
      <alignment horizontal="center"/>
    </xf>
    <xf numFmtId="0" fontId="12" fillId="0" borderId="6" xfId="9" applyBorder="1" applyAlignment="1">
      <alignment horizontal="center" vertical="center"/>
    </xf>
    <xf numFmtId="0" fontId="12" fillId="0" borderId="44" xfId="9" applyBorder="1" applyAlignment="1">
      <alignment horizontal="center" vertical="center"/>
    </xf>
    <xf numFmtId="0" fontId="11" fillId="0" borderId="43" xfId="9" applyFont="1" applyBorder="1" applyAlignment="1">
      <alignment horizontal="center" vertical="center" wrapText="1"/>
    </xf>
    <xf numFmtId="0" fontId="11" fillId="0" borderId="42" xfId="9" applyFont="1" applyBorder="1" applyAlignment="1">
      <alignment horizontal="center" vertical="center" wrapText="1"/>
    </xf>
    <xf numFmtId="0" fontId="11" fillId="0" borderId="41" xfId="9" applyFont="1" applyBorder="1" applyAlignment="1">
      <alignment horizontal="center" vertical="center"/>
    </xf>
    <xf numFmtId="0" fontId="12" fillId="0" borderId="48" xfId="9" applyBorder="1" applyAlignment="1">
      <alignment horizontal="center" vertical="center"/>
    </xf>
    <xf numFmtId="0" fontId="12" fillId="0" borderId="46" xfId="9" applyBorder="1" applyAlignment="1">
      <alignment horizontal="center" vertical="center"/>
    </xf>
    <xf numFmtId="4" fontId="12" fillId="0" borderId="58" xfId="9" applyNumberFormat="1" applyBorder="1" applyAlignment="1">
      <alignment horizontal="center" vertical="center"/>
    </xf>
    <xf numFmtId="4" fontId="12" fillId="0" borderId="47" xfId="9" applyNumberFormat="1" applyBorder="1" applyAlignment="1">
      <alignment horizontal="center" vertical="center"/>
    </xf>
    <xf numFmtId="49" fontId="12" fillId="0" borderId="0" xfId="9" applyNumberFormat="1" applyAlignment="1">
      <alignment horizontal="center" vertical="center"/>
    </xf>
    <xf numFmtId="49" fontId="12" fillId="0" borderId="22" xfId="9" applyNumberFormat="1" applyBorder="1" applyAlignment="1">
      <alignment vertical="center"/>
    </xf>
    <xf numFmtId="39" fontId="12" fillId="0" borderId="0" xfId="7" applyNumberFormat="1" applyFont="1" applyBorder="1" applyAlignment="1">
      <alignment wrapText="1"/>
    </xf>
    <xf numFmtId="49" fontId="12" fillId="0" borderId="24" xfId="9" applyNumberFormat="1" applyBorder="1" applyAlignment="1">
      <alignment horizontal="right" vertical="center"/>
    </xf>
    <xf numFmtId="49" fontId="11" fillId="0" borderId="0" xfId="9" applyNumberFormat="1" applyFont="1" applyAlignment="1">
      <alignment vertical="center"/>
    </xf>
    <xf numFmtId="39" fontId="12" fillId="0" borderId="0" xfId="7" applyNumberFormat="1" applyFont="1" applyBorder="1" applyAlignment="1">
      <alignment horizontal="right" vertical="center"/>
    </xf>
    <xf numFmtId="0" fontId="12" fillId="0" borderId="24" xfId="9" applyBorder="1" applyAlignment="1">
      <alignment horizontal="right" vertical="center"/>
    </xf>
    <xf numFmtId="4" fontId="12" fillId="0" borderId="7" xfId="9" applyNumberFormat="1" applyBorder="1" applyAlignment="1">
      <alignment horizontal="right" vertical="center"/>
    </xf>
    <xf numFmtId="0" fontId="12" fillId="0" borderId="2" xfId="9" applyBorder="1" applyAlignment="1">
      <alignment horizontal="left" vertical="center"/>
    </xf>
    <xf numFmtId="0" fontId="12" fillId="0" borderId="3" xfId="9" applyBorder="1" applyAlignment="1">
      <alignment horizontal="left" vertical="center"/>
    </xf>
    <xf numFmtId="0" fontId="12" fillId="0" borderId="4" xfId="9" applyBorder="1" applyAlignment="1">
      <alignment horizontal="left" vertical="center"/>
    </xf>
    <xf numFmtId="0" fontId="12" fillId="0" borderId="7" xfId="9" applyBorder="1" applyAlignment="1">
      <alignment vertical="center"/>
    </xf>
    <xf numFmtId="0" fontId="12" fillId="0" borderId="2" xfId="9" applyBorder="1" applyAlignment="1">
      <alignment vertical="center"/>
    </xf>
    <xf numFmtId="0" fontId="12" fillId="0" borderId="3" xfId="9" applyBorder="1" applyAlignment="1">
      <alignment vertical="center"/>
    </xf>
    <xf numFmtId="3" fontId="12" fillId="0" borderId="0" xfId="9" applyNumberFormat="1" applyAlignment="1">
      <alignment vertical="center"/>
    </xf>
    <xf numFmtId="0" fontId="12" fillId="0" borderId="97" xfId="9" applyBorder="1" applyAlignment="1">
      <alignment horizontal="left" vertical="center"/>
    </xf>
    <xf numFmtId="3" fontId="12" fillId="0" borderId="15" xfId="9" applyNumberFormat="1" applyBorder="1" applyAlignment="1">
      <alignment vertical="center"/>
    </xf>
    <xf numFmtId="0" fontId="12" fillId="0" borderId="2" xfId="9" applyBorder="1" applyAlignment="1"/>
    <xf numFmtId="0" fontId="11" fillId="0" borderId="61" xfId="9" applyFont="1" applyBorder="1" applyAlignment="1">
      <alignment horizontal="center" vertical="center"/>
    </xf>
    <xf numFmtId="0" fontId="16" fillId="2" borderId="61" xfId="9" applyFont="1" applyFill="1" applyBorder="1" applyAlignment="1">
      <alignment horizontal="center" vertical="center"/>
    </xf>
    <xf numFmtId="4" fontId="16" fillId="2" borderId="61" xfId="9" applyNumberFormat="1" applyFont="1" applyFill="1" applyBorder="1" applyAlignment="1">
      <alignment horizontal="center" vertical="center"/>
    </xf>
    <xf numFmtId="4" fontId="12" fillId="0" borderId="2" xfId="9" applyNumberFormat="1" applyBorder="1" applyAlignment="1">
      <alignment horizontal="center" vertical="center"/>
    </xf>
    <xf numFmtId="4" fontId="12" fillId="0" borderId="62" xfId="9" applyNumberFormat="1" applyBorder="1" applyAlignment="1">
      <alignment horizontal="center" vertical="center"/>
    </xf>
    <xf numFmtId="167" fontId="12" fillId="0" borderId="2" xfId="9" applyNumberFormat="1" applyBorder="1" applyAlignment="1">
      <alignment horizontal="center" vertical="center"/>
    </xf>
    <xf numFmtId="0" fontId="11" fillId="0" borderId="65" xfId="9" applyFont="1" applyBorder="1" applyAlignment="1">
      <alignment horizontal="center" vertical="center"/>
    </xf>
    <xf numFmtId="0" fontId="11" fillId="0" borderId="63" xfId="9" applyFont="1" applyBorder="1" applyAlignment="1">
      <alignment horizontal="center" vertical="center"/>
    </xf>
    <xf numFmtId="0" fontId="11" fillId="0" borderId="66" xfId="9" applyFont="1" applyBorder="1" applyAlignment="1">
      <alignment horizontal="center" vertical="center"/>
    </xf>
    <xf numFmtId="0" fontId="11" fillId="0" borderId="64" xfId="9" applyFont="1" applyBorder="1" applyAlignment="1">
      <alignment horizontal="center" vertical="center"/>
    </xf>
    <xf numFmtId="2" fontId="12" fillId="0" borderId="6" xfId="9" applyNumberFormat="1" applyBorder="1" applyAlignment="1">
      <alignment horizontal="center" vertical="center"/>
    </xf>
    <xf numFmtId="2" fontId="12" fillId="0" borderId="61" xfId="9" applyNumberFormat="1" applyBorder="1" applyAlignment="1">
      <alignment horizontal="center" vertical="center"/>
    </xf>
    <xf numFmtId="3" fontId="12" fillId="0" borderId="0" xfId="9" applyNumberFormat="1" applyAlignment="1"/>
    <xf numFmtId="167" fontId="12" fillId="0" borderId="0" xfId="9" applyNumberFormat="1" applyAlignment="1"/>
    <xf numFmtId="11" fontId="12" fillId="0" borderId="0" xfId="9" applyNumberFormat="1" applyAlignment="1"/>
    <xf numFmtId="0" fontId="12" fillId="0" borderId="39" xfId="9" applyBorder="1" applyAlignment="1"/>
    <xf numFmtId="0" fontId="12" fillId="0" borderId="40" xfId="9" applyBorder="1" applyAlignment="1"/>
    <xf numFmtId="165" fontId="12" fillId="0" borderId="6" xfId="9" applyNumberForma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7" xfId="0" applyBorder="1"/>
    <xf numFmtId="0" fontId="0" fillId="0" borderId="4" xfId="0" applyBorder="1"/>
    <xf numFmtId="3" fontId="0" fillId="0" borderId="7" xfId="0" applyNumberFormat="1" applyBorder="1"/>
    <xf numFmtId="0" fontId="0" fillId="0" borderId="15" xfId="0" applyBorder="1"/>
    <xf numFmtId="168" fontId="0" fillId="0" borderId="0" xfId="0" applyNumberFormat="1"/>
    <xf numFmtId="0" fontId="0" fillId="0" borderId="4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5" fontId="0" fillId="0" borderId="7" xfId="0" applyNumberFormat="1" applyBorder="1"/>
    <xf numFmtId="2" fontId="0" fillId="0" borderId="0" xfId="0" applyNumberFormat="1"/>
    <xf numFmtId="165" fontId="0" fillId="0" borderId="0" xfId="0" applyNumberFormat="1"/>
    <xf numFmtId="170" fontId="0" fillId="0" borderId="0" xfId="0" applyNumberFormat="1"/>
    <xf numFmtId="0" fontId="11" fillId="0" borderId="0" xfId="0" applyFont="1" applyAlignment="1">
      <alignment horizontal="center"/>
    </xf>
    <xf numFmtId="0" fontId="1" fillId="0" borderId="0" xfId="0" applyFont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79" xfId="0" applyBorder="1"/>
    <xf numFmtId="0" fontId="0" fillId="0" borderId="104" xfId="0" applyBorder="1"/>
    <xf numFmtId="0" fontId="0" fillId="0" borderId="105" xfId="0" applyBorder="1"/>
    <xf numFmtId="0" fontId="0" fillId="0" borderId="106" xfId="0" applyBorder="1"/>
    <xf numFmtId="0" fontId="0" fillId="0" borderId="107" xfId="0" applyBorder="1"/>
    <xf numFmtId="0" fontId="0" fillId="0" borderId="108" xfId="0" applyBorder="1"/>
    <xf numFmtId="0" fontId="0" fillId="0" borderId="109" xfId="0" applyBorder="1"/>
    <xf numFmtId="0" fontId="1" fillId="0" borderId="52" xfId="0" applyFont="1" applyBorder="1"/>
    <xf numFmtId="0" fontId="1" fillId="0" borderId="77" xfId="0" applyFont="1" applyBorder="1"/>
    <xf numFmtId="1" fontId="1" fillId="0" borderId="96" xfId="0" applyNumberFormat="1" applyFont="1" applyBorder="1"/>
    <xf numFmtId="0" fontId="7" fillId="0" borderId="71" xfId="8" applyBorder="1" applyAlignment="1">
      <alignment horizontal="center" vertical="center"/>
    </xf>
    <xf numFmtId="0" fontId="12" fillId="0" borderId="63" xfId="8" applyFont="1" applyBorder="1" applyAlignment="1">
      <alignment horizontal="center" vertical="center"/>
    </xf>
    <xf numFmtId="0" fontId="12" fillId="0" borderId="72" xfId="8" applyFont="1" applyBorder="1" applyAlignment="1">
      <alignment horizontal="center" vertical="center"/>
    </xf>
    <xf numFmtId="0" fontId="7" fillId="0" borderId="64" xfId="8" applyBorder="1" applyAlignment="1">
      <alignment horizontal="center" vertical="center"/>
    </xf>
    <xf numFmtId="4" fontId="7" fillId="0" borderId="2" xfId="8" applyNumberFormat="1" applyBorder="1" applyAlignment="1">
      <alignment horizontal="center" vertical="center"/>
    </xf>
    <xf numFmtId="4" fontId="7" fillId="0" borderId="110" xfId="8" applyNumberFormat="1" applyBorder="1" applyAlignment="1">
      <alignment horizontal="center" vertical="center"/>
    </xf>
    <xf numFmtId="0" fontId="12" fillId="0" borderId="0" xfId="8" applyFont="1" applyAlignment="1"/>
    <xf numFmtId="167" fontId="7" fillId="0" borderId="2" xfId="8" applyNumberFormat="1" applyBorder="1" applyAlignment="1">
      <alignment horizontal="center" vertical="center"/>
    </xf>
    <xf numFmtId="2" fontId="7" fillId="0" borderId="6" xfId="8" applyNumberFormat="1" applyBorder="1" applyAlignment="1">
      <alignment horizontal="center" vertical="center"/>
    </xf>
    <xf numFmtId="2" fontId="7" fillId="0" borderId="111" xfId="8" applyNumberFormat="1" applyBorder="1" applyAlignment="1">
      <alignment horizontal="center" vertical="center"/>
    </xf>
    <xf numFmtId="168" fontId="7" fillId="0" borderId="6" xfId="8" applyNumberFormat="1" applyBorder="1" applyAlignment="1">
      <alignment horizontal="center" vertical="center"/>
    </xf>
    <xf numFmtId="165" fontId="7" fillId="0" borderId="111" xfId="8" applyNumberFormat="1" applyBorder="1" applyAlignment="1">
      <alignment horizontal="center" vertical="center"/>
    </xf>
    <xf numFmtId="167" fontId="7" fillId="0" borderId="6" xfId="8" applyNumberFormat="1" applyBorder="1" applyAlignment="1">
      <alignment horizontal="center" vertical="center"/>
    </xf>
    <xf numFmtId="167" fontId="7" fillId="0" borderId="110" xfId="8" applyNumberFormat="1" applyBorder="1" applyAlignment="1">
      <alignment horizontal="center" vertical="center"/>
    </xf>
    <xf numFmtId="2" fontId="7" fillId="0" borderId="0" xfId="8" applyNumberFormat="1" applyAlignment="1"/>
    <xf numFmtId="3" fontId="7" fillId="0" borderId="0" xfId="8" applyNumberFormat="1" applyAlignment="1"/>
    <xf numFmtId="0" fontId="7" fillId="0" borderId="7" xfId="8" applyBorder="1" applyAlignment="1"/>
    <xf numFmtId="0" fontId="7" fillId="0" borderId="4" xfId="8" applyBorder="1" applyAlignment="1"/>
    <xf numFmtId="3" fontId="7" fillId="0" borderId="7" xfId="8" applyNumberFormat="1" applyBorder="1" applyAlignment="1"/>
    <xf numFmtId="0" fontId="7" fillId="0" borderId="15" xfId="8" applyBorder="1" applyAlignment="1"/>
    <xf numFmtId="165" fontId="7" fillId="0" borderId="7" xfId="8" applyNumberFormat="1" applyBorder="1" applyAlignment="1"/>
    <xf numFmtId="0" fontId="11" fillId="0" borderId="52" xfId="8" applyFont="1" applyBorder="1" applyAlignment="1"/>
    <xf numFmtId="0" fontId="7" fillId="0" borderId="35" xfId="8" applyBorder="1" applyAlignment="1"/>
    <xf numFmtId="0" fontId="11" fillId="0" borderId="112" xfId="8" applyFont="1" applyBorder="1" applyAlignment="1"/>
    <xf numFmtId="0" fontId="7" fillId="0" borderId="104" xfId="8" applyBorder="1" applyAlignment="1"/>
    <xf numFmtId="0" fontId="7" fillId="0" borderId="105" xfId="8" applyBorder="1" applyAlignment="1"/>
    <xf numFmtId="1" fontId="11" fillId="0" borderId="96" xfId="8" applyNumberFormat="1" applyFont="1" applyBorder="1" applyAlignment="1"/>
    <xf numFmtId="0" fontId="7" fillId="0" borderId="108" xfId="8" applyBorder="1" applyAlignment="1"/>
    <xf numFmtId="0" fontId="7" fillId="0" borderId="93" xfId="8" applyBorder="1" applyAlignment="1"/>
    <xf numFmtId="0" fontId="12" fillId="0" borderId="113" xfId="8" applyFont="1" applyBorder="1" applyAlignment="1"/>
    <xf numFmtId="0" fontId="0" fillId="0" borderId="93" xfId="0" applyBorder="1"/>
    <xf numFmtId="0" fontId="12" fillId="0" borderId="0" xfId="15" applyAlignment="1"/>
    <xf numFmtId="0" fontId="1" fillId="0" borderId="112" xfId="0" applyFont="1" applyBorder="1"/>
    <xf numFmtId="0" fontId="8" fillId="0" borderId="0" xfId="15" applyFont="1" applyAlignment="1"/>
    <xf numFmtId="0" fontId="10" fillId="0" borderId="0" xfId="15" applyFont="1" applyAlignment="1"/>
    <xf numFmtId="0" fontId="12" fillId="0" borderId="0" xfId="15" applyAlignment="1">
      <alignment horizontal="center"/>
    </xf>
    <xf numFmtId="4" fontId="12" fillId="0" borderId="6" xfId="15" applyNumberFormat="1" applyBorder="1" applyAlignment="1">
      <alignment horizontal="center"/>
    </xf>
    <xf numFmtId="4" fontId="12" fillId="0" borderId="111" xfId="15" applyNumberFormat="1" applyBorder="1" applyAlignment="1">
      <alignment horizontal="center"/>
    </xf>
    <xf numFmtId="165" fontId="12" fillId="0" borderId="6" xfId="15" applyNumberFormat="1" applyBorder="1" applyAlignment="1">
      <alignment horizontal="center"/>
    </xf>
    <xf numFmtId="0" fontId="11" fillId="0" borderId="65" xfId="15" applyFont="1" applyBorder="1" applyAlignment="1">
      <alignment horizontal="center"/>
    </xf>
    <xf numFmtId="0" fontId="11" fillId="0" borderId="114" xfId="15" applyFont="1" applyBorder="1" applyAlignment="1">
      <alignment horizontal="center"/>
    </xf>
    <xf numFmtId="0" fontId="11" fillId="0" borderId="66" xfId="15" applyFont="1" applyBorder="1" applyAlignment="1">
      <alignment horizontal="center"/>
    </xf>
    <xf numFmtId="0" fontId="11" fillId="0" borderId="115" xfId="15" applyFont="1" applyBorder="1" applyAlignment="1">
      <alignment horizontal="center"/>
    </xf>
    <xf numFmtId="2" fontId="12" fillId="0" borderId="6" xfId="15" applyNumberFormat="1" applyBorder="1" applyAlignment="1">
      <alignment horizontal="center"/>
    </xf>
    <xf numFmtId="2" fontId="12" fillId="0" borderId="0" xfId="15" applyNumberFormat="1" applyAlignment="1"/>
    <xf numFmtId="0" fontId="12" fillId="0" borderId="0" xfId="15" applyAlignment="1">
      <alignment horizontal="right"/>
    </xf>
    <xf numFmtId="0" fontId="12" fillId="0" borderId="7" xfId="15" applyBorder="1" applyAlignment="1"/>
    <xf numFmtId="0" fontId="12" fillId="0" borderId="4" xfId="15" applyBorder="1" applyAlignment="1"/>
    <xf numFmtId="3" fontId="12" fillId="0" borderId="7" xfId="15" applyNumberFormat="1" applyBorder="1" applyAlignment="1"/>
    <xf numFmtId="0" fontId="12" fillId="0" borderId="4" xfId="15" applyBorder="1" applyAlignment="1">
      <alignment horizontal="center"/>
    </xf>
    <xf numFmtId="0" fontId="12" fillId="0" borderId="15" xfId="15" applyBorder="1" applyAlignment="1"/>
    <xf numFmtId="165" fontId="12" fillId="0" borderId="7" xfId="15" applyNumberFormat="1" applyBorder="1" applyAlignment="1"/>
    <xf numFmtId="4" fontId="12" fillId="0" borderId="0" xfId="15" applyNumberFormat="1" applyAlignment="1">
      <alignment vertical="center"/>
    </xf>
    <xf numFmtId="0" fontId="12" fillId="0" borderId="0" xfId="15" applyAlignment="1">
      <alignment horizontal="center" vertical="center"/>
    </xf>
    <xf numFmtId="167" fontId="12" fillId="0" borderId="6" xfId="15" applyNumberFormat="1" applyBorder="1" applyAlignment="1">
      <alignment horizontal="center"/>
    </xf>
    <xf numFmtId="0" fontId="11" fillId="0" borderId="63" xfId="15" applyFont="1" applyBorder="1" applyAlignment="1">
      <alignment horizontal="center"/>
    </xf>
    <xf numFmtId="0" fontId="11" fillId="0" borderId="64" xfId="15" applyFont="1" applyBorder="1" applyAlignment="1">
      <alignment horizontal="center"/>
    </xf>
    <xf numFmtId="0" fontId="11" fillId="0" borderId="0" xfId="15" applyFont="1" applyAlignment="1"/>
    <xf numFmtId="1" fontId="11" fillId="0" borderId="0" xfId="15" applyNumberFormat="1" applyFont="1" applyAlignment="1"/>
    <xf numFmtId="0" fontId="12" fillId="0" borderId="116" xfId="15" applyBorder="1" applyAlignment="1"/>
    <xf numFmtId="0" fontId="12" fillId="0" borderId="117" xfId="15" applyBorder="1" applyAlignment="1"/>
    <xf numFmtId="165" fontId="12" fillId="0" borderId="0" xfId="15" applyNumberFormat="1" applyAlignment="1"/>
    <xf numFmtId="1" fontId="0" fillId="0" borderId="0" xfId="0" applyNumberFormat="1"/>
    <xf numFmtId="4" fontId="0" fillId="0" borderId="0" xfId="0" applyNumberFormat="1" applyAlignment="1">
      <alignment horizontal="center" vertical="center"/>
    </xf>
    <xf numFmtId="0" fontId="12" fillId="0" borderId="0" xfId="0" applyFont="1"/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8" applyFont="1" applyAlignment="1">
      <alignment horizontal="center"/>
    </xf>
    <xf numFmtId="2" fontId="7" fillId="0" borderId="6" xfId="8" applyNumberFormat="1" applyBorder="1" applyAlignment="1">
      <alignment horizontal="center"/>
    </xf>
    <xf numFmtId="167" fontId="7" fillId="0" borderId="2" xfId="8" applyNumberFormat="1" applyBorder="1" applyAlignment="1">
      <alignment horizontal="center"/>
    </xf>
    <xf numFmtId="4" fontId="7" fillId="0" borderId="110" xfId="8" applyNumberFormat="1" applyBorder="1" applyAlignment="1">
      <alignment horizontal="center"/>
    </xf>
    <xf numFmtId="0" fontId="11" fillId="0" borderId="72" xfId="8" applyFont="1" applyBorder="1" applyAlignment="1">
      <alignment horizontal="center"/>
    </xf>
    <xf numFmtId="0" fontId="11" fillId="0" borderId="71" xfId="8" applyFont="1" applyBorder="1" applyAlignment="1">
      <alignment horizontal="center"/>
    </xf>
    <xf numFmtId="0" fontId="10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4" fontId="12" fillId="0" borderId="111" xfId="9" applyNumberFormat="1" applyBorder="1" applyAlignment="1">
      <alignment horizontal="center" vertical="center"/>
    </xf>
    <xf numFmtId="4" fontId="12" fillId="0" borderId="118" xfId="9" applyNumberFormat="1" applyBorder="1" applyAlignment="1">
      <alignment horizontal="center" vertical="center"/>
    </xf>
    <xf numFmtId="4" fontId="12" fillId="0" borderId="83" xfId="9" applyNumberFormat="1" applyBorder="1" applyAlignment="1">
      <alignment horizontal="center" vertical="center"/>
    </xf>
    <xf numFmtId="169" fontId="12" fillId="0" borderId="111" xfId="9" applyNumberFormat="1" applyBorder="1" applyAlignment="1">
      <alignment horizontal="center" vertical="center"/>
    </xf>
    <xf numFmtId="169" fontId="12" fillId="0" borderId="76" xfId="9" applyNumberFormat="1" applyBorder="1" applyAlignment="1">
      <alignment horizontal="center" vertical="center"/>
    </xf>
    <xf numFmtId="0" fontId="19" fillId="0" borderId="0" xfId="0" applyFont="1"/>
    <xf numFmtId="0" fontId="4" fillId="0" borderId="0" xfId="0" applyFont="1"/>
    <xf numFmtId="4" fontId="16" fillId="0" borderId="61" xfId="9" applyNumberFormat="1" applyFont="1" applyBorder="1" applyAlignment="1">
      <alignment horizontal="center" vertical="center"/>
    </xf>
    <xf numFmtId="0" fontId="11" fillId="0" borderId="119" xfId="9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21" xfId="0" applyBorder="1" applyAlignment="1">
      <alignment horizontal="center"/>
    </xf>
    <xf numFmtId="0" fontId="12" fillId="2" borderId="0" xfId="9" applyFill="1" applyAlignment="1"/>
    <xf numFmtId="11" fontId="11" fillId="0" borderId="0" xfId="9" applyNumberFormat="1" applyFont="1" applyAlignment="1"/>
    <xf numFmtId="0" fontId="7" fillId="0" borderId="0" xfId="9" applyFont="1" applyAlignment="1"/>
    <xf numFmtId="0" fontId="29" fillId="0" borderId="0" xfId="9" applyFont="1" applyAlignment="1"/>
    <xf numFmtId="0" fontId="28" fillId="0" borderId="0" xfId="0" applyFont="1"/>
    <xf numFmtId="0" fontId="0" fillId="3" borderId="0" xfId="0" applyFill="1"/>
    <xf numFmtId="0" fontId="4" fillId="3" borderId="0" xfId="0" applyFont="1" applyFill="1"/>
    <xf numFmtId="0" fontId="12" fillId="0" borderId="150" xfId="9" applyBorder="1" applyAlignment="1">
      <alignment horizontal="center" vertical="center"/>
    </xf>
    <xf numFmtId="0" fontId="7" fillId="0" borderId="0" xfId="9" applyFont="1" applyAlignment="1">
      <alignment horizontal="right" wrapText="1"/>
    </xf>
    <xf numFmtId="0" fontId="7" fillId="0" borderId="0" xfId="9" applyFont="1" applyAlignment="1">
      <alignment horizontal="right" vertical="center"/>
    </xf>
    <xf numFmtId="0" fontId="1" fillId="3" borderId="9" xfId="0" applyFont="1" applyFill="1" applyBorder="1"/>
    <xf numFmtId="0" fontId="24" fillId="3" borderId="9" xfId="0" applyFont="1" applyFill="1" applyBorder="1" applyAlignment="1">
      <alignment horizontal="center"/>
    </xf>
    <xf numFmtId="0" fontId="24" fillId="3" borderId="31" xfId="0" applyFont="1" applyFill="1" applyBorder="1" applyAlignment="1">
      <alignment horizontal="center"/>
    </xf>
    <xf numFmtId="0" fontId="24" fillId="3" borderId="49" xfId="0" applyFont="1" applyFill="1" applyBorder="1" applyAlignment="1">
      <alignment horizontal="center"/>
    </xf>
    <xf numFmtId="0" fontId="24" fillId="3" borderId="59" xfId="0" applyFont="1" applyFill="1" applyBorder="1" applyAlignment="1">
      <alignment horizontal="center"/>
    </xf>
    <xf numFmtId="0" fontId="24" fillId="3" borderId="82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164" fontId="20" fillId="3" borderId="146" xfId="1" applyNumberFormat="1" applyFont="1" applyFill="1" applyBorder="1" applyAlignment="1">
      <alignment horizontal="center" wrapText="1"/>
    </xf>
    <xf numFmtId="4" fontId="3" fillId="3" borderId="157" xfId="25" applyNumberFormat="1" applyFont="1" applyFill="1" applyBorder="1" applyAlignment="1">
      <alignment horizontal="center" wrapText="1"/>
    </xf>
    <xf numFmtId="164" fontId="20" fillId="3" borderId="147" xfId="1" applyNumberFormat="1" applyFont="1" applyFill="1" applyBorder="1" applyAlignment="1">
      <alignment horizontal="center" wrapText="1"/>
    </xf>
    <xf numFmtId="4" fontId="20" fillId="3" borderId="139" xfId="1" applyNumberFormat="1" applyFont="1" applyFill="1" applyBorder="1" applyAlignment="1">
      <alignment horizontal="center" wrapText="1"/>
    </xf>
    <xf numFmtId="4" fontId="20" fillId="3" borderId="120" xfId="13" applyNumberFormat="1" applyFont="1" applyFill="1" applyBorder="1" applyAlignment="1">
      <alignment horizontal="center" wrapText="1"/>
    </xf>
    <xf numFmtId="4" fontId="20" fillId="3" borderId="169" xfId="13" applyNumberFormat="1" applyFont="1" applyFill="1" applyBorder="1" applyAlignment="1">
      <alignment horizontal="center" wrapText="1"/>
    </xf>
    <xf numFmtId="4" fontId="20" fillId="3" borderId="170" xfId="1" applyNumberFormat="1" applyFont="1" applyFill="1" applyBorder="1" applyAlignment="1">
      <alignment horizontal="center" wrapText="1"/>
    </xf>
    <xf numFmtId="164" fontId="20" fillId="3" borderId="120" xfId="1" applyNumberFormat="1" applyFont="1" applyFill="1" applyBorder="1" applyAlignment="1">
      <alignment horizontal="center" wrapText="1"/>
    </xf>
    <xf numFmtId="4" fontId="20" fillId="3" borderId="145" xfId="1" applyNumberFormat="1" applyFont="1" applyFill="1" applyBorder="1" applyAlignment="1">
      <alignment horizontal="center" wrapText="1"/>
    </xf>
    <xf numFmtId="4" fontId="20" fillId="3" borderId="171" xfId="1" applyNumberFormat="1" applyFont="1" applyFill="1" applyBorder="1" applyAlignment="1">
      <alignment horizontal="center" wrapText="1"/>
    </xf>
    <xf numFmtId="4" fontId="24" fillId="3" borderId="9" xfId="0" applyNumberFormat="1" applyFont="1" applyFill="1" applyBorder="1" applyAlignment="1">
      <alignment horizontal="center"/>
    </xf>
    <xf numFmtId="2" fontId="4" fillId="3" borderId="9" xfId="0" applyNumberFormat="1" applyFont="1" applyFill="1" applyBorder="1" applyAlignment="1">
      <alignment horizontal="center"/>
    </xf>
    <xf numFmtId="2" fontId="4" fillId="3" borderId="33" xfId="0" applyNumberFormat="1" applyFont="1" applyFill="1" applyBorder="1" applyAlignment="1">
      <alignment horizontal="center"/>
    </xf>
    <xf numFmtId="4" fontId="0" fillId="3" borderId="0" xfId="0" applyNumberFormat="1" applyFill="1"/>
    <xf numFmtId="4" fontId="27" fillId="3" borderId="126" xfId="26" applyNumberFormat="1" applyFont="1" applyFill="1" applyBorder="1" applyAlignment="1">
      <alignment horizontal="center" wrapText="1"/>
    </xf>
    <xf numFmtId="164" fontId="20" fillId="3" borderId="127" xfId="1" applyNumberFormat="1" applyFont="1" applyFill="1" applyBorder="1" applyAlignment="1">
      <alignment horizontal="center" wrapText="1"/>
    </xf>
    <xf numFmtId="164" fontId="20" fillId="3" borderId="128" xfId="1" applyNumberFormat="1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4" fontId="1" fillId="3" borderId="9" xfId="0" applyNumberFormat="1" applyFont="1" applyFill="1" applyBorder="1" applyAlignment="1">
      <alignment horizontal="center"/>
    </xf>
    <xf numFmtId="4" fontId="25" fillId="3" borderId="9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24" fillId="3" borderId="29" xfId="0" applyFont="1" applyFill="1" applyBorder="1" applyAlignment="1">
      <alignment horizontal="center"/>
    </xf>
    <xf numFmtId="0" fontId="24" fillId="3" borderId="9" xfId="0" applyFont="1" applyFill="1" applyBorder="1"/>
    <xf numFmtId="4" fontId="20" fillId="3" borderId="146" xfId="1" applyNumberFormat="1" applyFont="1" applyFill="1" applyBorder="1" applyAlignment="1">
      <alignment horizontal="center" wrapText="1"/>
    </xf>
    <xf numFmtId="4" fontId="20" fillId="3" borderId="146" xfId="13" applyNumberFormat="1" applyFont="1" applyFill="1" applyBorder="1" applyAlignment="1">
      <alignment horizontal="center" wrapText="1"/>
    </xf>
    <xf numFmtId="4" fontId="20" fillId="3" borderId="168" xfId="13" applyNumberFormat="1" applyFont="1" applyFill="1" applyBorder="1" applyAlignment="1">
      <alignment horizontal="center" wrapText="1"/>
    </xf>
    <xf numFmtId="4" fontId="20" fillId="3" borderId="36" xfId="1" applyNumberFormat="1" applyFont="1" applyFill="1" applyBorder="1" applyAlignment="1">
      <alignment horizontal="center" wrapText="1"/>
    </xf>
    <xf numFmtId="4" fontId="20" fillId="3" borderId="157" xfId="25" applyNumberFormat="1" applyFont="1" applyFill="1" applyBorder="1" applyAlignment="1">
      <alignment horizontal="center" wrapText="1"/>
    </xf>
    <xf numFmtId="4" fontId="20" fillId="3" borderId="147" xfId="1" applyNumberFormat="1" applyFont="1" applyFill="1" applyBorder="1" applyAlignment="1">
      <alignment horizontal="center" wrapText="1"/>
    </xf>
    <xf numFmtId="4" fontId="20" fillId="3" borderId="147" xfId="13" applyNumberFormat="1" applyFont="1" applyFill="1" applyBorder="1" applyAlignment="1">
      <alignment horizontal="center" wrapText="1"/>
    </xf>
    <xf numFmtId="4" fontId="4" fillId="3" borderId="0" xfId="0" applyNumberFormat="1" applyFont="1" applyFill="1"/>
    <xf numFmtId="4" fontId="20" fillId="3" borderId="126" xfId="26" applyNumberFormat="1" applyFont="1" applyFill="1" applyBorder="1" applyAlignment="1">
      <alignment horizontal="center" wrapText="1"/>
    </xf>
    <xf numFmtId="4" fontId="20" fillId="3" borderId="147" xfId="12" applyNumberFormat="1" applyFont="1" applyFill="1" applyBorder="1" applyAlignment="1">
      <alignment horizontal="center" wrapText="1"/>
    </xf>
    <xf numFmtId="172" fontId="4" fillId="3" borderId="9" xfId="0" applyNumberFormat="1" applyFont="1" applyFill="1" applyBorder="1" applyAlignment="1">
      <alignment horizontal="center"/>
    </xf>
    <xf numFmtId="2" fontId="4" fillId="3" borderId="0" xfId="0" applyNumberFormat="1" applyFont="1" applyFill="1"/>
    <xf numFmtId="4" fontId="4" fillId="3" borderId="9" xfId="0" applyNumberFormat="1" applyFont="1" applyFill="1" applyBorder="1" applyAlignment="1">
      <alignment horizontal="center"/>
    </xf>
    <xf numFmtId="4" fontId="43" fillId="3" borderId="157" xfId="25" applyNumberFormat="1" applyFont="1" applyFill="1" applyBorder="1" applyAlignment="1">
      <alignment horizontal="center" wrapText="1"/>
    </xf>
    <xf numFmtId="4" fontId="24" fillId="3" borderId="9" xfId="0" applyNumberFormat="1" applyFont="1" applyFill="1" applyBorder="1"/>
    <xf numFmtId="4" fontId="4" fillId="3" borderId="33" xfId="0" applyNumberFormat="1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4" fontId="20" fillId="3" borderId="0" xfId="21" applyNumberFormat="1" applyFont="1" applyFill="1" applyAlignment="1">
      <alignment horizontal="center" wrapText="1"/>
    </xf>
    <xf numFmtId="4" fontId="20" fillId="3" borderId="0" xfId="17" applyNumberFormat="1" applyFont="1" applyFill="1" applyAlignment="1">
      <alignment horizontal="center" wrapText="1"/>
    </xf>
    <xf numFmtId="4" fontId="20" fillId="3" borderId="0" xfId="22" applyNumberFormat="1" applyFont="1" applyFill="1" applyAlignment="1">
      <alignment horizontal="center" wrapText="1"/>
    </xf>
    <xf numFmtId="4" fontId="24" fillId="3" borderId="0" xfId="0" applyNumberFormat="1" applyFont="1" applyFill="1"/>
    <xf numFmtId="0" fontId="24" fillId="3" borderId="0" xfId="0" applyFont="1" applyFill="1"/>
    <xf numFmtId="43" fontId="4" fillId="3" borderId="0" xfId="0" applyNumberFormat="1" applyFont="1" applyFill="1"/>
    <xf numFmtId="4" fontId="11" fillId="0" borderId="0" xfId="9" applyNumberFormat="1" applyFont="1" applyAlignment="1"/>
    <xf numFmtId="164" fontId="20" fillId="3" borderId="146" xfId="2" applyNumberFormat="1" applyFont="1" applyFill="1" applyBorder="1" applyAlignment="1">
      <alignment horizontal="center" wrapText="1"/>
    </xf>
    <xf numFmtId="164" fontId="20" fillId="3" borderId="50" xfId="2" applyNumberFormat="1" applyFont="1" applyFill="1" applyBorder="1" applyAlignment="1">
      <alignment horizontal="center" wrapText="1"/>
    </xf>
    <xf numFmtId="4" fontId="20" fillId="3" borderId="0" xfId="23" applyNumberFormat="1" applyFont="1" applyFill="1" applyAlignment="1">
      <alignment horizontal="center" wrapText="1"/>
    </xf>
    <xf numFmtId="43" fontId="24" fillId="3" borderId="9" xfId="0" applyNumberFormat="1" applyFont="1" applyFill="1" applyBorder="1"/>
    <xf numFmtId="2" fontId="4" fillId="3" borderId="22" xfId="0" applyNumberFormat="1" applyFont="1" applyFill="1" applyBorder="1" applyAlignment="1">
      <alignment horizontal="center"/>
    </xf>
    <xf numFmtId="4" fontId="20" fillId="3" borderId="130" xfId="20" applyNumberFormat="1" applyFont="1" applyFill="1" applyBorder="1" applyAlignment="1">
      <alignment horizontal="center" wrapText="1"/>
    </xf>
    <xf numFmtId="0" fontId="1" fillId="3" borderId="41" xfId="0" applyFont="1" applyFill="1" applyBorder="1"/>
    <xf numFmtId="0" fontId="24" fillId="3" borderId="41" xfId="0" applyFont="1" applyFill="1" applyBorder="1" applyAlignment="1">
      <alignment horizontal="center"/>
    </xf>
    <xf numFmtId="0" fontId="24" fillId="3" borderId="47" xfId="0" applyFont="1" applyFill="1" applyBorder="1" applyAlignment="1">
      <alignment horizontal="center"/>
    </xf>
    <xf numFmtId="0" fontId="24" fillId="3" borderId="48" xfId="0" applyFont="1" applyFill="1" applyBorder="1" applyAlignment="1">
      <alignment horizontal="center"/>
    </xf>
    <xf numFmtId="4" fontId="20" fillId="3" borderId="0" xfId="16" applyNumberFormat="1" applyFont="1" applyFill="1" applyAlignment="1">
      <alignment horizontal="center" wrapText="1"/>
    </xf>
    <xf numFmtId="4" fontId="20" fillId="3" borderId="126" xfId="23" applyNumberFormat="1" applyFont="1" applyFill="1" applyBorder="1" applyAlignment="1">
      <alignment horizontal="center" wrapText="1"/>
    </xf>
    <xf numFmtId="4" fontId="24" fillId="3" borderId="49" xfId="0" applyNumberFormat="1" applyFont="1" applyFill="1" applyBorder="1" applyAlignment="1">
      <alignment horizontal="center"/>
    </xf>
    <xf numFmtId="0" fontId="4" fillId="3" borderId="30" xfId="0" applyFont="1" applyFill="1" applyBorder="1"/>
    <xf numFmtId="2" fontId="4" fillId="3" borderId="22" xfId="0" applyNumberFormat="1" applyFont="1" applyFill="1" applyBorder="1"/>
    <xf numFmtId="0" fontId="24" fillId="3" borderId="29" xfId="0" applyFont="1" applyFill="1" applyBorder="1"/>
    <xf numFmtId="0" fontId="24" fillId="3" borderId="149" xfId="0" applyFont="1" applyFill="1" applyBorder="1" applyAlignment="1">
      <alignment horizontal="center"/>
    </xf>
    <xf numFmtId="0" fontId="24" fillId="3" borderId="87" xfId="0" applyFont="1" applyFill="1" applyBorder="1" applyAlignment="1">
      <alignment horizontal="center"/>
    </xf>
    <xf numFmtId="0" fontId="24" fillId="3" borderId="152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4" fontId="20" fillId="3" borderId="133" xfId="16" applyNumberFormat="1" applyFont="1" applyFill="1" applyBorder="1" applyAlignment="1">
      <alignment horizontal="center" wrapText="1"/>
    </xf>
    <xf numFmtId="4" fontId="20" fillId="3" borderId="134" xfId="16" applyNumberFormat="1" applyFont="1" applyFill="1" applyBorder="1" applyAlignment="1">
      <alignment horizontal="center" wrapText="1"/>
    </xf>
    <xf numFmtId="4" fontId="20" fillId="3" borderId="135" xfId="16" applyNumberFormat="1" applyFont="1" applyFill="1" applyBorder="1" applyAlignment="1">
      <alignment horizontal="center" wrapText="1"/>
    </xf>
    <xf numFmtId="4" fontId="20" fillId="3" borderId="136" xfId="16" applyNumberFormat="1" applyFont="1" applyFill="1" applyBorder="1" applyAlignment="1">
      <alignment horizontal="center" wrapText="1"/>
    </xf>
    <xf numFmtId="4" fontId="20" fillId="3" borderId="137" xfId="16" applyNumberFormat="1" applyFont="1" applyFill="1" applyBorder="1" applyAlignment="1">
      <alignment horizontal="center" wrapText="1"/>
    </xf>
    <xf numFmtId="4" fontId="20" fillId="3" borderId="138" xfId="16" applyNumberFormat="1" applyFont="1" applyFill="1" applyBorder="1" applyAlignment="1">
      <alignment horizontal="center" wrapText="1"/>
    </xf>
    <xf numFmtId="4" fontId="20" fillId="3" borderId="129" xfId="20" applyNumberFormat="1" applyFont="1" applyFill="1" applyBorder="1" applyAlignment="1">
      <alignment horizontal="center" wrapText="1"/>
    </xf>
    <xf numFmtId="4" fontId="20" fillId="3" borderId="131" xfId="20" applyNumberFormat="1" applyFont="1" applyFill="1" applyBorder="1" applyAlignment="1">
      <alignment horizontal="center" wrapText="1"/>
    </xf>
    <xf numFmtId="2" fontId="4" fillId="3" borderId="42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41" xfId="0" applyNumberFormat="1" applyFont="1" applyFill="1" applyBorder="1" applyAlignment="1">
      <alignment horizontal="center"/>
    </xf>
    <xf numFmtId="2" fontId="4" fillId="3" borderId="43" xfId="0" applyNumberFormat="1" applyFont="1" applyFill="1" applyBorder="1" applyAlignment="1">
      <alignment horizontal="center"/>
    </xf>
    <xf numFmtId="0" fontId="24" fillId="3" borderId="41" xfId="0" applyFont="1" applyFill="1" applyBorder="1"/>
    <xf numFmtId="4" fontId="24" fillId="3" borderId="42" xfId="0" applyNumberFormat="1" applyFont="1" applyFill="1" applyBorder="1" applyAlignment="1">
      <alignment horizontal="center"/>
    </xf>
    <xf numFmtId="4" fontId="24" fillId="3" borderId="33" xfId="0" applyNumberFormat="1" applyFont="1" applyFill="1" applyBorder="1" applyAlignment="1">
      <alignment horizontal="center"/>
    </xf>
    <xf numFmtId="4" fontId="20" fillId="3" borderId="0" xfId="20" applyNumberFormat="1" applyFont="1" applyFill="1" applyAlignment="1">
      <alignment horizontal="center" wrapText="1"/>
    </xf>
    <xf numFmtId="4" fontId="20" fillId="3" borderId="78" xfId="20" applyNumberFormat="1" applyFont="1" applyFill="1" applyBorder="1" applyAlignment="1">
      <alignment horizontal="center" wrapText="1"/>
    </xf>
    <xf numFmtId="4" fontId="20" fillId="3" borderId="83" xfId="20" applyNumberFormat="1" applyFont="1" applyFill="1" applyBorder="1" applyAlignment="1">
      <alignment horizontal="center" wrapText="1"/>
    </xf>
    <xf numFmtId="4" fontId="24" fillId="3" borderId="41" xfId="0" applyNumberFormat="1" applyFont="1" applyFill="1" applyBorder="1" applyAlignment="1">
      <alignment horizontal="center"/>
    </xf>
    <xf numFmtId="2" fontId="4" fillId="3" borderId="82" xfId="0" applyNumberFormat="1" applyFont="1" applyFill="1" applyBorder="1" applyAlignment="1">
      <alignment horizontal="center"/>
    </xf>
    <xf numFmtId="43" fontId="24" fillId="3" borderId="0" xfId="0" applyNumberFormat="1" applyFont="1" applyFill="1"/>
    <xf numFmtId="4" fontId="20" fillId="3" borderId="0" xfId="19" applyNumberFormat="1" applyFont="1" applyFill="1" applyAlignment="1">
      <alignment horizontal="center" wrapText="1"/>
    </xf>
    <xf numFmtId="4" fontId="20" fillId="3" borderId="150" xfId="18" applyNumberFormat="1" applyFont="1" applyFill="1" applyBorder="1" applyAlignment="1">
      <alignment horizontal="center" wrapText="1"/>
    </xf>
    <xf numFmtId="4" fontId="20" fillId="3" borderId="150" xfId="4" applyNumberFormat="1" applyFont="1" applyFill="1" applyBorder="1" applyAlignment="1">
      <alignment horizontal="center" wrapText="1"/>
    </xf>
    <xf numFmtId="4" fontId="20" fillId="3" borderId="140" xfId="4" applyNumberFormat="1" applyFont="1" applyFill="1" applyBorder="1" applyAlignment="1">
      <alignment horizontal="center" wrapText="1"/>
    </xf>
    <xf numFmtId="4" fontId="20" fillId="3" borderId="143" xfId="4" applyNumberFormat="1" applyFont="1" applyFill="1" applyBorder="1" applyAlignment="1">
      <alignment horizontal="center" wrapText="1"/>
    </xf>
    <xf numFmtId="4" fontId="20" fillId="3" borderId="46" xfId="4" applyNumberFormat="1" applyFont="1" applyFill="1" applyBorder="1" applyAlignment="1">
      <alignment horizontal="center" wrapText="1"/>
    </xf>
    <xf numFmtId="4" fontId="24" fillId="3" borderId="82" xfId="0" applyNumberFormat="1" applyFont="1" applyFill="1" applyBorder="1" applyAlignment="1">
      <alignment horizontal="center"/>
    </xf>
    <xf numFmtId="4" fontId="24" fillId="3" borderId="59" xfId="0" applyNumberFormat="1" applyFont="1" applyFill="1" applyBorder="1" applyAlignment="1">
      <alignment horizontal="center"/>
    </xf>
    <xf numFmtId="0" fontId="24" fillId="3" borderId="29" xfId="0" applyFont="1" applyFill="1" applyBorder="1" applyAlignment="1">
      <alignment horizontal="center" wrapText="1"/>
    </xf>
    <xf numFmtId="43" fontId="24" fillId="3" borderId="82" xfId="7" applyFont="1" applyFill="1" applyBorder="1" applyAlignment="1">
      <alignment vertical="center"/>
    </xf>
    <xf numFmtId="0" fontId="24" fillId="3" borderId="43" xfId="0" applyFont="1" applyFill="1" applyBorder="1"/>
    <xf numFmtId="4" fontId="20" fillId="3" borderId="153" xfId="18" applyNumberFormat="1" applyFont="1" applyFill="1" applyBorder="1" applyAlignment="1">
      <alignment horizontal="center" wrapText="1"/>
    </xf>
    <xf numFmtId="4" fontId="20" fillId="3" borderId="154" xfId="18" applyNumberFormat="1" applyFont="1" applyFill="1" applyBorder="1" applyAlignment="1">
      <alignment horizontal="center" wrapText="1"/>
    </xf>
    <xf numFmtId="4" fontId="20" fillId="3" borderId="151" xfId="18" applyNumberFormat="1" applyFont="1" applyFill="1" applyBorder="1" applyAlignment="1">
      <alignment horizontal="center" wrapText="1"/>
    </xf>
    <xf numFmtId="4" fontId="20" fillId="3" borderId="151" xfId="19" applyNumberFormat="1" applyFont="1" applyFill="1" applyBorder="1" applyAlignment="1">
      <alignment horizontal="center" wrapText="1"/>
    </xf>
    <xf numFmtId="4" fontId="20" fillId="3" borderId="141" xfId="19" applyNumberFormat="1" applyFont="1" applyFill="1" applyBorder="1" applyAlignment="1">
      <alignment horizontal="center" wrapText="1"/>
    </xf>
    <xf numFmtId="4" fontId="20" fillId="3" borderId="144" xfId="19" applyNumberFormat="1" applyFont="1" applyFill="1" applyBorder="1" applyAlignment="1">
      <alignment horizontal="center" wrapText="1"/>
    </xf>
    <xf numFmtId="4" fontId="20" fillId="3" borderId="47" xfId="19" applyNumberFormat="1" applyFont="1" applyFill="1" applyBorder="1" applyAlignment="1">
      <alignment horizontal="center" wrapText="1"/>
    </xf>
    <xf numFmtId="4" fontId="24" fillId="3" borderId="82" xfId="0" applyNumberFormat="1" applyFont="1" applyFill="1" applyBorder="1"/>
    <xf numFmtId="4" fontId="24" fillId="3" borderId="29" xfId="0" applyNumberFormat="1" applyFont="1" applyFill="1" applyBorder="1" applyAlignment="1">
      <alignment horizontal="center"/>
    </xf>
    <xf numFmtId="43" fontId="24" fillId="3" borderId="41" xfId="7" applyFont="1" applyFill="1" applyBorder="1" applyAlignment="1">
      <alignment horizontal="center" vertical="center"/>
    </xf>
    <xf numFmtId="39" fontId="24" fillId="3" borderId="42" xfId="7" applyNumberFormat="1" applyFont="1" applyFill="1" applyBorder="1" applyAlignment="1">
      <alignment horizontal="center" vertical="center"/>
    </xf>
    <xf numFmtId="43" fontId="24" fillId="3" borderId="43" xfId="7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1" fillId="3" borderId="0" xfId="0" applyFont="1" applyFill="1"/>
    <xf numFmtId="0" fontId="0" fillId="3" borderId="9" xfId="0" applyFill="1" applyBorder="1"/>
    <xf numFmtId="16" fontId="1" fillId="3" borderId="9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32" xfId="0" applyFont="1" applyFill="1" applyBorder="1" applyAlignment="1">
      <alignment horizontal="center"/>
    </xf>
    <xf numFmtId="4" fontId="43" fillId="3" borderId="157" xfId="69" applyNumberFormat="1" applyFont="1" applyFill="1" applyBorder="1" applyAlignment="1">
      <alignment horizontal="center" wrapText="1"/>
    </xf>
    <xf numFmtId="4" fontId="20" fillId="3" borderId="126" xfId="24" applyNumberFormat="1" applyFont="1" applyFill="1" applyBorder="1" applyAlignment="1">
      <alignment horizontal="center" wrapText="1"/>
    </xf>
    <xf numFmtId="164" fontId="22" fillId="3" borderId="9" xfId="3" applyNumberFormat="1" applyFont="1" applyFill="1" applyBorder="1" applyAlignment="1">
      <alignment horizontal="center" wrapText="1"/>
    </xf>
    <xf numFmtId="0" fontId="1" fillId="3" borderId="68" xfId="0" applyFont="1" applyFill="1" applyBorder="1"/>
    <xf numFmtId="4" fontId="1" fillId="3" borderId="68" xfId="0" applyNumberFormat="1" applyFont="1" applyFill="1" applyBorder="1"/>
    <xf numFmtId="0" fontId="1" fillId="3" borderId="68" xfId="0" applyFont="1" applyFill="1" applyBorder="1" applyAlignment="1">
      <alignment horizontal="center"/>
    </xf>
    <xf numFmtId="4" fontId="24" fillId="3" borderId="118" xfId="0" applyNumberFormat="1" applyFont="1" applyFill="1" applyBorder="1" applyAlignment="1">
      <alignment horizontal="center"/>
    </xf>
    <xf numFmtId="4" fontId="1" fillId="3" borderId="121" xfId="0" applyNumberFormat="1" applyFont="1" applyFill="1" applyBorder="1" applyAlignment="1">
      <alignment horizontal="center"/>
    </xf>
    <xf numFmtId="43" fontId="1" fillId="3" borderId="42" xfId="7" applyFont="1" applyFill="1" applyBorder="1"/>
    <xf numFmtId="4" fontId="1" fillId="3" borderId="6" xfId="0" applyNumberFormat="1" applyFont="1" applyFill="1" applyBorder="1"/>
    <xf numFmtId="0" fontId="0" fillId="3" borderId="22" xfId="0" applyFill="1" applyBorder="1"/>
    <xf numFmtId="0" fontId="12" fillId="0" borderId="174" xfId="9" applyBorder="1" applyAlignment="1">
      <alignment horizontal="center" vertical="center"/>
    </xf>
    <xf numFmtId="0" fontId="12" fillId="0" borderId="58" xfId="9" applyBorder="1" applyAlignment="1">
      <alignment horizontal="center" vertical="center"/>
    </xf>
    <xf numFmtId="4" fontId="12" fillId="0" borderId="158" xfId="9" applyNumberFormat="1" applyBorder="1" applyAlignment="1">
      <alignment horizontal="right" vertical="center"/>
    </xf>
    <xf numFmtId="49" fontId="7" fillId="0" borderId="0" xfId="9" applyNumberFormat="1" applyFont="1" applyAlignment="1">
      <alignment horizontal="left"/>
    </xf>
    <xf numFmtId="11" fontId="12" fillId="0" borderId="174" xfId="9" applyNumberFormat="1" applyBorder="1" applyAlignment="1">
      <alignment horizontal="center" vertical="center"/>
    </xf>
    <xf numFmtId="49" fontId="7" fillId="0" borderId="0" xfId="9" applyNumberFormat="1" applyFont="1" applyAlignment="1">
      <alignment horizontal="left" vertical="center"/>
    </xf>
    <xf numFmtId="3" fontId="12" fillId="0" borderId="4" xfId="9" applyNumberFormat="1" applyBorder="1" applyAlignment="1">
      <alignment horizontal="right" vertical="center"/>
    </xf>
    <xf numFmtId="3" fontId="12" fillId="0" borderId="15" xfId="9" applyNumberFormat="1" applyBorder="1" applyAlignment="1">
      <alignment horizontal="right" vertical="center"/>
    </xf>
    <xf numFmtId="0" fontId="7" fillId="0" borderId="3" xfId="9" applyFont="1" applyBorder="1" applyAlignment="1">
      <alignment horizontal="left" vertical="center"/>
    </xf>
    <xf numFmtId="3" fontId="12" fillId="0" borderId="0" xfId="9" applyNumberFormat="1" applyAlignment="1">
      <alignment horizontal="right" vertical="center"/>
    </xf>
    <xf numFmtId="11" fontId="12" fillId="0" borderId="4" xfId="9" applyNumberFormat="1" applyBorder="1" applyAlignment="1">
      <alignment vertical="center"/>
    </xf>
    <xf numFmtId="173" fontId="12" fillId="0" borderId="2" xfId="9" applyNumberFormat="1" applyBorder="1" applyAlignment="1">
      <alignment horizontal="center"/>
    </xf>
    <xf numFmtId="43" fontId="4" fillId="3" borderId="168" xfId="7" applyFont="1" applyFill="1" applyBorder="1"/>
    <xf numFmtId="43" fontId="4" fillId="3" borderId="175" xfId="7" applyFont="1" applyFill="1" applyBorder="1"/>
    <xf numFmtId="43" fontId="4" fillId="3" borderId="124" xfId="7" applyFont="1" applyFill="1" applyBorder="1"/>
    <xf numFmtId="4" fontId="20" fillId="3" borderId="176" xfId="26" applyNumberFormat="1" applyFont="1" applyFill="1" applyBorder="1" applyAlignment="1">
      <alignment horizontal="center" wrapText="1"/>
    </xf>
    <xf numFmtId="4" fontId="4" fillId="3" borderId="29" xfId="0" applyNumberFormat="1" applyFont="1" applyFill="1" applyBorder="1" applyAlignment="1">
      <alignment horizontal="center"/>
    </xf>
    <xf numFmtId="0" fontId="7" fillId="0" borderId="174" xfId="9" applyFont="1" applyBorder="1" applyAlignment="1">
      <alignment horizontal="center" vertical="center"/>
    </xf>
    <xf numFmtId="49" fontId="7" fillId="0" borderId="0" xfId="9" applyNumberFormat="1" applyFont="1" applyAlignment="1">
      <alignment vertical="center"/>
    </xf>
    <xf numFmtId="168" fontId="12" fillId="0" borderId="6" xfId="9" applyNumberFormat="1" applyBorder="1" applyAlignment="1">
      <alignment horizontal="center" vertical="center"/>
    </xf>
    <xf numFmtId="166" fontId="12" fillId="0" borderId="7" xfId="8" applyNumberFormat="1" applyFont="1" applyBorder="1" applyAlignment="1">
      <alignment horizontal="center" vertical="center"/>
    </xf>
    <xf numFmtId="2" fontId="7" fillId="0" borderId="7" xfId="8" applyNumberFormat="1" applyBorder="1" applyAlignment="1">
      <alignment horizontal="center" vertical="center"/>
    </xf>
    <xf numFmtId="0" fontId="7" fillId="0" borderId="74" xfId="9" applyFont="1" applyBorder="1" applyAlignment="1"/>
    <xf numFmtId="168" fontId="12" fillId="0" borderId="7" xfId="9" applyNumberFormat="1" applyBorder="1" applyAlignment="1"/>
    <xf numFmtId="3" fontId="7" fillId="0" borderId="150" xfId="9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7" fillId="0" borderId="0" xfId="15" applyFont="1" applyAlignment="1"/>
    <xf numFmtId="0" fontId="11" fillId="0" borderId="0" xfId="15" applyFont="1" applyAlignment="1">
      <alignment horizontal="left"/>
    </xf>
    <xf numFmtId="0" fontId="12" fillId="0" borderId="0" xfId="15" applyAlignment="1">
      <alignment horizontal="left"/>
    </xf>
    <xf numFmtId="0" fontId="0" fillId="0" borderId="0" xfId="0" applyAlignment="1">
      <alignment horizontal="left"/>
    </xf>
    <xf numFmtId="0" fontId="7" fillId="0" borderId="70" xfId="9" applyFont="1" applyBorder="1" applyAlignment="1">
      <alignment horizontal="center" vertical="center"/>
    </xf>
    <xf numFmtId="0" fontId="7" fillId="0" borderId="69" xfId="9" applyFont="1" applyBorder="1" applyAlignment="1">
      <alignment vertical="center"/>
    </xf>
    <xf numFmtId="0" fontId="7" fillId="0" borderId="3" xfId="9" applyFont="1" applyBorder="1" applyAlignment="1">
      <alignment vertical="center"/>
    </xf>
    <xf numFmtId="0" fontId="7" fillId="0" borderId="148" xfId="9" applyFont="1" applyBorder="1" applyAlignment="1">
      <alignment horizontal="center" vertical="center"/>
    </xf>
    <xf numFmtId="0" fontId="7" fillId="0" borderId="177" xfId="9" applyFont="1" applyBorder="1" applyAlignment="1">
      <alignment horizontal="center" vertical="center"/>
    </xf>
    <xf numFmtId="49" fontId="7" fillId="0" borderId="0" xfId="9" applyNumberFormat="1" applyFont="1" applyAlignment="1">
      <alignment horizontal="right" vertical="center"/>
    </xf>
    <xf numFmtId="165" fontId="12" fillId="0" borderId="4" xfId="9" applyNumberFormat="1" applyBorder="1" applyAlignment="1">
      <alignment horizontal="right" vertical="center"/>
    </xf>
    <xf numFmtId="0" fontId="7" fillId="0" borderId="4" xfId="9" applyFont="1" applyBorder="1" applyAlignment="1">
      <alignment horizontal="left" vertical="center"/>
    </xf>
    <xf numFmtId="0" fontId="7" fillId="0" borderId="0" xfId="9" applyFont="1" applyAlignment="1">
      <alignment horizontal="left" vertical="center"/>
    </xf>
    <xf numFmtId="172" fontId="12" fillId="0" borderId="4" xfId="9" applyNumberFormat="1" applyBorder="1" applyAlignment="1">
      <alignment horizontal="right" vertical="center"/>
    </xf>
    <xf numFmtId="0" fontId="7" fillId="0" borderId="2" xfId="9" applyFont="1" applyBorder="1" applyAlignment="1">
      <alignment horizontal="left" vertical="center"/>
    </xf>
    <xf numFmtId="3" fontId="12" fillId="0" borderId="174" xfId="9" applyNumberFormat="1" applyBorder="1" applyAlignment="1">
      <alignment horizontal="center" vertical="center"/>
    </xf>
    <xf numFmtId="3" fontId="12" fillId="0" borderId="178" xfId="9" applyNumberFormat="1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" fontId="7" fillId="0" borderId="0" xfId="9" applyNumberFormat="1" applyFont="1" applyAlignment="1"/>
    <xf numFmtId="0" fontId="7" fillId="0" borderId="37" xfId="9" applyFont="1" applyBorder="1" applyAlignment="1"/>
    <xf numFmtId="0" fontId="7" fillId="0" borderId="38" xfId="9" applyFont="1" applyBorder="1" applyAlignment="1"/>
    <xf numFmtId="165" fontId="7" fillId="0" borderId="7" xfId="8" applyNumberFormat="1" applyBorder="1" applyAlignment="1">
      <alignment horizontal="center" vertical="center"/>
    </xf>
    <xf numFmtId="3" fontId="12" fillId="0" borderId="12" xfId="9" applyNumberFormat="1" applyBorder="1" applyAlignment="1">
      <alignment horizontal="center" vertical="center"/>
    </xf>
    <xf numFmtId="1" fontId="7" fillId="0" borderId="29" xfId="9" applyNumberFormat="1" applyFont="1" applyBorder="1" applyAlignment="1"/>
    <xf numFmtId="0" fontId="7" fillId="0" borderId="29" xfId="9" applyFont="1" applyBorder="1" applyAlignment="1"/>
    <xf numFmtId="0" fontId="7" fillId="0" borderId="30" xfId="9" applyFont="1" applyBorder="1" applyAlignment="1"/>
    <xf numFmtId="0" fontId="7" fillId="0" borderId="69" xfId="9" applyFont="1" applyBorder="1" applyAlignment="1"/>
    <xf numFmtId="4" fontId="20" fillId="3" borderId="179" xfId="25" applyNumberFormat="1" applyFont="1" applyFill="1" applyBorder="1" applyAlignment="1">
      <alignment horizontal="center" wrapText="1"/>
    </xf>
    <xf numFmtId="4" fontId="20" fillId="3" borderId="179" xfId="26" applyNumberFormat="1" applyFont="1" applyFill="1" applyBorder="1" applyAlignment="1">
      <alignment horizontal="center" wrapText="1"/>
    </xf>
    <xf numFmtId="164" fontId="20" fillId="3" borderId="180" xfId="1" applyNumberFormat="1" applyFont="1" applyFill="1" applyBorder="1" applyAlignment="1">
      <alignment horizontal="center" wrapText="1"/>
    </xf>
    <xf numFmtId="0" fontId="12" fillId="0" borderId="148" xfId="9" applyBorder="1" applyAlignment="1">
      <alignment horizontal="center" vertical="center"/>
    </xf>
    <xf numFmtId="0" fontId="12" fillId="0" borderId="177" xfId="9" applyBorder="1" applyAlignment="1">
      <alignment horizontal="center" vertical="center"/>
    </xf>
    <xf numFmtId="4" fontId="12" fillId="0" borderId="174" xfId="9" applyNumberFormat="1" applyBorder="1" applyAlignment="1">
      <alignment horizontal="center" vertical="center"/>
    </xf>
    <xf numFmtId="4" fontId="12" fillId="0" borderId="178" xfId="9" applyNumberFormat="1" applyBorder="1" applyAlignment="1">
      <alignment horizontal="center" vertical="center"/>
    </xf>
    <xf numFmtId="165" fontId="12" fillId="0" borderId="177" xfId="9" applyNumberFormat="1" applyBorder="1" applyAlignment="1">
      <alignment horizontal="center" vertical="center"/>
    </xf>
    <xf numFmtId="4" fontId="12" fillId="0" borderId="178" xfId="9" applyNumberFormat="1" applyBorder="1" applyAlignment="1">
      <alignment horizontal="center"/>
    </xf>
    <xf numFmtId="168" fontId="12" fillId="0" borderId="177" xfId="9" applyNumberFormat="1" applyBorder="1" applyAlignment="1">
      <alignment horizontal="center" vertical="center"/>
    </xf>
    <xf numFmtId="170" fontId="12" fillId="0" borderId="177" xfId="9" applyNumberFormat="1" applyBorder="1" applyAlignment="1">
      <alignment horizontal="center" vertical="center"/>
    </xf>
    <xf numFmtId="2" fontId="7" fillId="0" borderId="177" xfId="9" applyNumberFormat="1" applyFont="1" applyBorder="1" applyAlignment="1">
      <alignment horizontal="center" vertical="center"/>
    </xf>
    <xf numFmtId="39" fontId="7" fillId="0" borderId="0" xfId="7" applyNumberFormat="1" applyFont="1" applyBorder="1" applyAlignment="1">
      <alignment wrapText="1"/>
    </xf>
    <xf numFmtId="39" fontId="7" fillId="0" borderId="0" xfId="7" applyNumberFormat="1" applyFont="1" applyBorder="1" applyAlignment="1">
      <alignment horizontal="right" vertical="center"/>
    </xf>
    <xf numFmtId="0" fontId="12" fillId="0" borderId="158" xfId="9" applyBorder="1" applyAlignment="1">
      <alignment horizontal="right" vertical="center"/>
    </xf>
    <xf numFmtId="0" fontId="12" fillId="0" borderId="158" xfId="9" applyBorder="1" applyAlignment="1">
      <alignment horizontal="left" vertical="center"/>
    </xf>
    <xf numFmtId="0" fontId="12" fillId="0" borderId="158" xfId="9" applyBorder="1" applyAlignment="1">
      <alignment vertical="center"/>
    </xf>
    <xf numFmtId="3" fontId="12" fillId="0" borderId="158" xfId="9" applyNumberFormat="1" applyBorder="1" applyAlignment="1">
      <alignment horizontal="right" vertical="center"/>
    </xf>
    <xf numFmtId="0" fontId="12" fillId="0" borderId="181" xfId="9" applyBorder="1" applyAlignment="1">
      <alignment horizontal="left" vertical="center"/>
    </xf>
    <xf numFmtId="165" fontId="12" fillId="0" borderId="158" xfId="9" applyNumberFormat="1" applyBorder="1" applyAlignment="1">
      <alignment vertical="center"/>
    </xf>
    <xf numFmtId="11" fontId="12" fillId="0" borderId="158" xfId="9" applyNumberFormat="1" applyBorder="1" applyAlignment="1">
      <alignment vertical="center"/>
    </xf>
    <xf numFmtId="2" fontId="12" fillId="0" borderId="158" xfId="9" applyNumberFormat="1" applyBorder="1" applyAlignment="1">
      <alignment vertical="center"/>
    </xf>
    <xf numFmtId="4" fontId="12" fillId="0" borderId="172" xfId="9" applyNumberFormat="1" applyBorder="1" applyAlignment="1">
      <alignment horizontal="center" vertical="center"/>
    </xf>
    <xf numFmtId="0" fontId="7" fillId="0" borderId="150" xfId="9" applyFont="1" applyBorder="1" applyAlignment="1">
      <alignment horizontal="center" vertical="center"/>
    </xf>
    <xf numFmtId="4" fontId="20" fillId="0" borderId="184" xfId="1" applyNumberFormat="1" applyFont="1" applyBorder="1" applyAlignment="1">
      <alignment horizontal="center" wrapText="1"/>
    </xf>
    <xf numFmtId="4" fontId="20" fillId="0" borderId="185" xfId="1" applyNumberFormat="1" applyFont="1" applyBorder="1" applyAlignment="1">
      <alignment horizontal="center" wrapText="1"/>
    </xf>
    <xf numFmtId="4" fontId="20" fillId="0" borderId="186" xfId="1" applyNumberFormat="1" applyFont="1" applyBorder="1" applyAlignment="1">
      <alignment horizontal="center" wrapText="1"/>
    </xf>
    <xf numFmtId="4" fontId="20" fillId="0" borderId="172" xfId="1" applyNumberFormat="1" applyFont="1" applyBorder="1" applyAlignment="1">
      <alignment horizontal="center" wrapText="1"/>
    </xf>
    <xf numFmtId="4" fontId="20" fillId="0" borderId="118" xfId="1" applyNumberFormat="1" applyFont="1" applyBorder="1" applyAlignment="1">
      <alignment horizontal="center" wrapText="1"/>
    </xf>
    <xf numFmtId="4" fontId="20" fillId="0" borderId="173" xfId="1" applyNumberFormat="1" applyFont="1" applyBorder="1" applyAlignment="1">
      <alignment horizontal="center" wrapText="1"/>
    </xf>
    <xf numFmtId="4" fontId="20" fillId="0" borderId="184" xfId="26" applyNumberFormat="1" applyFont="1" applyBorder="1" applyAlignment="1">
      <alignment horizontal="center" wrapText="1"/>
    </xf>
    <xf numFmtId="4" fontId="20" fillId="0" borderId="185" xfId="26" applyNumberFormat="1" applyFont="1" applyBorder="1" applyAlignment="1">
      <alignment horizontal="center" wrapText="1"/>
    </xf>
    <xf numFmtId="4" fontId="20" fillId="0" borderId="186" xfId="26" applyNumberFormat="1" applyFont="1" applyBorder="1" applyAlignment="1">
      <alignment horizontal="center" wrapText="1"/>
    </xf>
    <xf numFmtId="4" fontId="20" fillId="0" borderId="172" xfId="26" applyNumberFormat="1" applyFont="1" applyBorder="1" applyAlignment="1">
      <alignment horizontal="center" wrapText="1"/>
    </xf>
    <xf numFmtId="4" fontId="20" fillId="0" borderId="118" xfId="26" applyNumberFormat="1" applyFont="1" applyBorder="1" applyAlignment="1">
      <alignment horizontal="center" wrapText="1"/>
    </xf>
    <xf numFmtId="4" fontId="20" fillId="0" borderId="173" xfId="26" applyNumberFormat="1" applyFont="1" applyBorder="1" applyAlignment="1">
      <alignment horizontal="center" wrapText="1"/>
    </xf>
    <xf numFmtId="4" fontId="20" fillId="0" borderId="188" xfId="4" applyNumberFormat="1" applyFont="1" applyBorder="1" applyAlignment="1">
      <alignment horizontal="center" wrapText="1"/>
    </xf>
    <xf numFmtId="169" fontId="3" fillId="0" borderId="188" xfId="12" applyNumberFormat="1" applyFont="1" applyBorder="1" applyAlignment="1">
      <alignment horizontal="center" wrapText="1"/>
    </xf>
    <xf numFmtId="4" fontId="20" fillId="0" borderId="147" xfId="4" applyNumberFormat="1" applyFont="1" applyBorder="1" applyAlignment="1">
      <alignment horizontal="center" wrapText="1"/>
    </xf>
    <xf numFmtId="169" fontId="3" fillId="0" borderId="147" xfId="12" applyNumberFormat="1" applyFont="1" applyBorder="1" applyAlignment="1">
      <alignment horizontal="center" wrapText="1"/>
    </xf>
    <xf numFmtId="4" fontId="20" fillId="0" borderId="145" xfId="4" applyNumberFormat="1" applyFont="1" applyBorder="1" applyAlignment="1">
      <alignment horizontal="center" wrapText="1"/>
    </xf>
    <xf numFmtId="169" fontId="3" fillId="0" borderId="145" xfId="12" applyNumberFormat="1" applyFont="1" applyBorder="1" applyAlignment="1">
      <alignment horizontal="center" wrapText="1"/>
    </xf>
    <xf numFmtId="4" fontId="5" fillId="0" borderId="188" xfId="0" applyNumberFormat="1" applyFont="1" applyBorder="1" applyAlignment="1">
      <alignment horizontal="center"/>
    </xf>
    <xf numFmtId="0" fontId="4" fillId="0" borderId="188" xfId="0" applyFont="1" applyBorder="1" applyAlignment="1">
      <alignment horizontal="center"/>
    </xf>
    <xf numFmtId="4" fontId="5" fillId="0" borderId="147" xfId="0" applyNumberFormat="1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4" fontId="5" fillId="35" borderId="147" xfId="0" applyNumberFormat="1" applyFont="1" applyFill="1" applyBorder="1" applyAlignment="1">
      <alignment horizontal="center"/>
    </xf>
    <xf numFmtId="0" fontId="4" fillId="35" borderId="147" xfId="0" applyFont="1" applyFill="1" applyBorder="1" applyAlignment="1">
      <alignment horizontal="center"/>
    </xf>
    <xf numFmtId="4" fontId="5" fillId="35" borderId="145" xfId="0" applyNumberFormat="1" applyFont="1" applyFill="1" applyBorder="1" applyAlignment="1">
      <alignment horizontal="center"/>
    </xf>
    <xf numFmtId="0" fontId="4" fillId="35" borderId="145" xfId="0" applyFont="1" applyFill="1" applyBorder="1" applyAlignment="1">
      <alignment horizontal="center"/>
    </xf>
    <xf numFmtId="4" fontId="3" fillId="0" borderId="188" xfId="25" applyNumberFormat="1" applyFont="1" applyBorder="1" applyAlignment="1">
      <alignment horizontal="center" wrapText="1"/>
    </xf>
    <xf numFmtId="4" fontId="3" fillId="0" borderId="147" xfId="25" applyNumberFormat="1" applyFont="1" applyBorder="1" applyAlignment="1">
      <alignment horizontal="center" wrapText="1"/>
    </xf>
    <xf numFmtId="4" fontId="3" fillId="0" borderId="32" xfId="25" applyNumberFormat="1" applyFont="1" applyBorder="1" applyAlignment="1">
      <alignment horizontal="center" wrapText="1"/>
    </xf>
    <xf numFmtId="4" fontId="3" fillId="0" borderId="147" xfId="12" applyNumberFormat="1" applyFont="1" applyBorder="1" applyAlignment="1">
      <alignment horizontal="center" wrapText="1"/>
    </xf>
    <xf numFmtId="4" fontId="3" fillId="0" borderId="145" xfId="25" applyNumberFormat="1" applyFont="1" applyBorder="1" applyAlignment="1">
      <alignment horizontal="center" wrapText="1"/>
    </xf>
    <xf numFmtId="43" fontId="4" fillId="3" borderId="188" xfId="7" applyFont="1" applyFill="1" applyBorder="1"/>
    <xf numFmtId="43" fontId="4" fillId="3" borderId="147" xfId="7" applyFont="1" applyFill="1" applyBorder="1"/>
    <xf numFmtId="43" fontId="4" fillId="3" borderId="145" xfId="7" applyFont="1" applyFill="1" applyBorder="1"/>
    <xf numFmtId="43" fontId="4" fillId="3" borderId="188" xfId="7" applyFont="1" applyFill="1" applyBorder="1" applyAlignment="1">
      <alignment horizontal="center"/>
    </xf>
    <xf numFmtId="167" fontId="3" fillId="0" borderId="188" xfId="25" applyNumberFormat="1" applyFont="1" applyBorder="1" applyAlignment="1">
      <alignment horizontal="center" wrapText="1"/>
    </xf>
    <xf numFmtId="4" fontId="3" fillId="0" borderId="188" xfId="68" applyNumberFormat="1" applyFont="1" applyBorder="1" applyAlignment="1">
      <alignment horizontal="center" wrapText="1"/>
    </xf>
    <xf numFmtId="43" fontId="4" fillId="3" borderId="147" xfId="7" applyFont="1" applyFill="1" applyBorder="1" applyAlignment="1">
      <alignment horizontal="center"/>
    </xf>
    <xf numFmtId="167" fontId="3" fillId="0" borderId="147" xfId="25" applyNumberFormat="1" applyFont="1" applyBorder="1" applyAlignment="1">
      <alignment horizontal="center" wrapText="1"/>
    </xf>
    <xf numFmtId="4" fontId="3" fillId="0" borderId="147" xfId="68" applyNumberFormat="1" applyFont="1" applyBorder="1" applyAlignment="1">
      <alignment horizontal="center" wrapText="1"/>
    </xf>
    <xf numFmtId="167" fontId="3" fillId="0" borderId="147" xfId="12" applyNumberFormat="1" applyFont="1" applyBorder="1" applyAlignment="1">
      <alignment horizontal="center" wrapText="1"/>
    </xf>
    <xf numFmtId="4" fontId="3" fillId="0" borderId="147" xfId="70" applyNumberFormat="1" applyFont="1" applyBorder="1" applyAlignment="1">
      <alignment horizontal="center" wrapText="1"/>
    </xf>
    <xf numFmtId="4" fontId="3" fillId="3" borderId="145" xfId="25" applyNumberFormat="1" applyFont="1" applyFill="1" applyBorder="1" applyAlignment="1">
      <alignment horizontal="center" wrapText="1"/>
    </xf>
    <xf numFmtId="43" fontId="4" fillId="3" borderId="145" xfId="7" applyFont="1" applyFill="1" applyBorder="1" applyAlignment="1">
      <alignment horizontal="center"/>
    </xf>
    <xf numFmtId="167" fontId="3" fillId="0" borderId="145" xfId="25" applyNumberFormat="1" applyFont="1" applyBorder="1" applyAlignment="1">
      <alignment horizontal="center" wrapText="1"/>
    </xf>
    <xf numFmtId="4" fontId="3" fillId="0" borderId="145" xfId="68" applyNumberFormat="1" applyFont="1" applyBorder="1" applyAlignment="1">
      <alignment horizontal="center" wrapText="1"/>
    </xf>
    <xf numFmtId="168" fontId="4" fillId="0" borderId="188" xfId="0" applyNumberFormat="1" applyFont="1" applyBorder="1" applyAlignment="1">
      <alignment horizontal="center"/>
    </xf>
    <xf numFmtId="168" fontId="4" fillId="0" borderId="147" xfId="0" applyNumberFormat="1" applyFont="1" applyBorder="1" applyAlignment="1">
      <alignment horizontal="center"/>
    </xf>
    <xf numFmtId="4" fontId="5" fillId="36" borderId="147" xfId="0" applyNumberFormat="1" applyFont="1" applyFill="1" applyBorder="1" applyAlignment="1">
      <alignment horizontal="center"/>
    </xf>
    <xf numFmtId="4" fontId="5" fillId="36" borderId="145" xfId="0" applyNumberFormat="1" applyFont="1" applyFill="1" applyBorder="1" applyAlignment="1">
      <alignment horizontal="center"/>
    </xf>
    <xf numFmtId="168" fontId="4" fillId="0" borderId="145" xfId="0" applyNumberFormat="1" applyFont="1" applyBorder="1" applyAlignment="1">
      <alignment horizontal="center"/>
    </xf>
    <xf numFmtId="4" fontId="3" fillId="0" borderId="190" xfId="25" applyNumberFormat="1" applyFont="1" applyBorder="1" applyAlignment="1">
      <alignment horizontal="center" wrapText="1"/>
    </xf>
    <xf numFmtId="4" fontId="3" fillId="0" borderId="184" xfId="25" applyNumberFormat="1" applyFont="1" applyBorder="1" applyAlignment="1">
      <alignment horizontal="center" wrapText="1"/>
    </xf>
    <xf numFmtId="43" fontId="4" fillId="0" borderId="184" xfId="7" applyFont="1" applyBorder="1"/>
    <xf numFmtId="43" fontId="4" fillId="0" borderId="185" xfId="7" applyFont="1" applyBorder="1"/>
    <xf numFmtId="4" fontId="3" fillId="0" borderId="191" xfId="25" applyNumberFormat="1" applyFont="1" applyBorder="1" applyAlignment="1">
      <alignment horizontal="center" wrapText="1"/>
    </xf>
    <xf numFmtId="4" fontId="3" fillId="0" borderId="186" xfId="25" applyNumberFormat="1" applyFont="1" applyBorder="1" applyAlignment="1">
      <alignment horizontal="center" wrapText="1"/>
    </xf>
    <xf numFmtId="43" fontId="4" fillId="0" borderId="186" xfId="7" applyFont="1" applyBorder="1"/>
    <xf numFmtId="43" fontId="4" fillId="0" borderId="172" xfId="7" applyFont="1" applyBorder="1"/>
    <xf numFmtId="4" fontId="3" fillId="0" borderId="125" xfId="25" applyNumberFormat="1" applyFont="1" applyBorder="1" applyAlignment="1">
      <alignment horizontal="center" wrapText="1"/>
    </xf>
    <xf numFmtId="4" fontId="3" fillId="0" borderId="118" xfId="25" applyNumberFormat="1" applyFont="1" applyBorder="1" applyAlignment="1">
      <alignment horizontal="center" wrapText="1"/>
    </xf>
    <xf numFmtId="43" fontId="4" fillId="0" borderId="118" xfId="7" applyFont="1" applyBorder="1"/>
    <xf numFmtId="43" fontId="4" fillId="0" borderId="173" xfId="7" applyFont="1" applyBorder="1"/>
    <xf numFmtId="43" fontId="4" fillId="0" borderId="188" xfId="0" applyNumberFormat="1" applyFont="1" applyBorder="1"/>
    <xf numFmtId="43" fontId="4" fillId="0" borderId="147" xfId="0" applyNumberFormat="1" applyFont="1" applyBorder="1"/>
    <xf numFmtId="43" fontId="4" fillId="0" borderId="145" xfId="0" applyNumberFormat="1" applyFont="1" applyBorder="1"/>
    <xf numFmtId="4" fontId="20" fillId="0" borderId="188" xfId="16" applyNumberFormat="1" applyFont="1" applyBorder="1" applyAlignment="1">
      <alignment horizontal="center" wrapText="1"/>
    </xf>
    <xf numFmtId="4" fontId="20" fillId="0" borderId="36" xfId="25" applyNumberFormat="1" applyFont="1" applyBorder="1" applyAlignment="1">
      <alignment horizontal="center" wrapText="1"/>
    </xf>
    <xf numFmtId="4" fontId="20" fillId="0" borderId="147" xfId="25" applyNumberFormat="1" applyFont="1" applyBorder="1" applyAlignment="1">
      <alignment horizontal="center" wrapText="1"/>
    </xf>
    <xf numFmtId="4" fontId="20" fillId="0" borderId="192" xfId="25" applyNumberFormat="1" applyFont="1" applyBorder="1" applyAlignment="1">
      <alignment horizontal="center" wrapText="1"/>
    </xf>
    <xf numFmtId="4" fontId="20" fillId="0" borderId="192" xfId="16" applyNumberFormat="1" applyFont="1" applyBorder="1" applyAlignment="1">
      <alignment horizontal="center" wrapText="1"/>
    </xf>
    <xf numFmtId="4" fontId="20" fillId="3" borderId="147" xfId="25" applyNumberFormat="1" applyFont="1" applyFill="1" applyBorder="1" applyAlignment="1">
      <alignment horizontal="center" wrapText="1"/>
    </xf>
    <xf numFmtId="4" fontId="20" fillId="3" borderId="192" xfId="20" applyNumberFormat="1" applyFont="1" applyFill="1" applyBorder="1" applyAlignment="1">
      <alignment horizontal="center" wrapText="1"/>
    </xf>
    <xf numFmtId="4" fontId="20" fillId="0" borderId="192" xfId="20" applyNumberFormat="1" applyFont="1" applyBorder="1" applyAlignment="1">
      <alignment horizontal="center" wrapText="1"/>
    </xf>
    <xf numFmtId="4" fontId="20" fillId="0" borderId="145" xfId="25" applyNumberFormat="1" applyFont="1" applyBorder="1" applyAlignment="1">
      <alignment horizontal="center" wrapText="1"/>
    </xf>
    <xf numFmtId="4" fontId="20" fillId="0" borderId="93" xfId="20" applyNumberFormat="1" applyFont="1" applyBorder="1" applyAlignment="1">
      <alignment horizontal="center" wrapText="1"/>
    </xf>
    <xf numFmtId="4" fontId="0" fillId="0" borderId="190" xfId="0" applyNumberFormat="1" applyBorder="1" applyAlignment="1">
      <alignment horizontal="center"/>
    </xf>
    <xf numFmtId="4" fontId="0" fillId="3" borderId="184" xfId="0" applyNumberFormat="1" applyFill="1" applyBorder="1" applyAlignment="1">
      <alignment horizontal="center"/>
    </xf>
    <xf numFmtId="4" fontId="0" fillId="3" borderId="193" xfId="0" applyNumberFormat="1" applyFill="1" applyBorder="1" applyAlignment="1">
      <alignment horizontal="center"/>
    </xf>
    <xf numFmtId="4" fontId="0" fillId="0" borderId="191" xfId="0" applyNumberFormat="1" applyBorder="1" applyAlignment="1">
      <alignment horizontal="center"/>
    </xf>
    <xf numFmtId="4" fontId="0" fillId="3" borderId="186" xfId="0" applyNumberFormat="1" applyFill="1" applyBorder="1" applyAlignment="1">
      <alignment horizontal="center"/>
    </xf>
    <xf numFmtId="4" fontId="0" fillId="3" borderId="194" xfId="0" applyNumberFormat="1" applyFill="1" applyBorder="1" applyAlignment="1">
      <alignment horizontal="center"/>
    </xf>
    <xf numFmtId="4" fontId="3" fillId="0" borderId="195" xfId="3" applyNumberFormat="1" applyFont="1" applyBorder="1" applyAlignment="1">
      <alignment horizontal="center" wrapText="1"/>
    </xf>
    <xf numFmtId="4" fontId="3" fillId="0" borderId="196" xfId="3" applyNumberFormat="1" applyFont="1" applyBorder="1" applyAlignment="1">
      <alignment horizontal="center" wrapText="1"/>
    </xf>
    <xf numFmtId="4" fontId="0" fillId="3" borderId="150" xfId="0" applyNumberFormat="1" applyFill="1" applyBorder="1" applyAlignment="1">
      <alignment horizontal="center"/>
    </xf>
    <xf numFmtId="4" fontId="0" fillId="3" borderId="73" xfId="0" applyNumberFormat="1" applyFill="1" applyBorder="1" applyAlignment="1">
      <alignment horizontal="center"/>
    </xf>
    <xf numFmtId="4" fontId="3" fillId="0" borderId="197" xfId="3" applyNumberFormat="1" applyFont="1" applyBorder="1" applyAlignment="1">
      <alignment horizontal="center" wrapText="1"/>
    </xf>
    <xf numFmtId="4" fontId="0" fillId="0" borderId="150" xfId="0" applyNumberFormat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4" fontId="0" fillId="0" borderId="198" xfId="0" applyNumberFormat="1" applyBorder="1" applyAlignment="1">
      <alignment horizontal="center"/>
    </xf>
    <xf numFmtId="4" fontId="0" fillId="0" borderId="199" xfId="0" applyNumberFormat="1" applyBorder="1" applyAlignment="1">
      <alignment horizontal="center"/>
    </xf>
    <xf numFmtId="4" fontId="4" fillId="3" borderId="190" xfId="0" applyNumberFormat="1" applyFont="1" applyFill="1" applyBorder="1" applyAlignment="1">
      <alignment horizontal="center"/>
    </xf>
    <xf numFmtId="4" fontId="0" fillId="3" borderId="185" xfId="0" applyNumberFormat="1" applyFill="1" applyBorder="1" applyAlignment="1">
      <alignment horizontal="center"/>
    </xf>
    <xf numFmtId="4" fontId="20" fillId="3" borderId="184" xfId="16" applyNumberFormat="1" applyFont="1" applyFill="1" applyBorder="1" applyAlignment="1">
      <alignment horizontal="center" wrapText="1"/>
    </xf>
    <xf numFmtId="4" fontId="3" fillId="0" borderId="185" xfId="25" applyNumberFormat="1" applyFont="1" applyBorder="1" applyAlignment="1">
      <alignment horizontal="center" wrapText="1"/>
    </xf>
    <xf numFmtId="4" fontId="4" fillId="3" borderId="62" xfId="0" applyNumberFormat="1" applyFont="1" applyFill="1" applyBorder="1" applyAlignment="1">
      <alignment horizontal="center"/>
    </xf>
    <xf numFmtId="4" fontId="0" fillId="3" borderId="200" xfId="0" applyNumberFormat="1" applyFill="1" applyBorder="1" applyAlignment="1">
      <alignment horizontal="center"/>
    </xf>
    <xf numFmtId="4" fontId="0" fillId="3" borderId="201" xfId="0" applyNumberFormat="1" applyFill="1" applyBorder="1" applyAlignment="1">
      <alignment horizontal="center"/>
    </xf>
    <xf numFmtId="4" fontId="3" fillId="0" borderId="62" xfId="25" applyNumberFormat="1" applyFont="1" applyBorder="1" applyAlignment="1">
      <alignment horizontal="center" wrapText="1"/>
    </xf>
    <xf numFmtId="4" fontId="3" fillId="0" borderId="200" xfId="25" applyNumberFormat="1" applyFont="1" applyBorder="1" applyAlignment="1">
      <alignment horizontal="center" wrapText="1"/>
    </xf>
    <xf numFmtId="4" fontId="20" fillId="3" borderId="200" xfId="16" applyNumberFormat="1" applyFont="1" applyFill="1" applyBorder="1" applyAlignment="1">
      <alignment horizontal="center" wrapText="1"/>
    </xf>
    <xf numFmtId="4" fontId="3" fillId="0" borderId="201" xfId="25" applyNumberFormat="1" applyFont="1" applyBorder="1" applyAlignment="1">
      <alignment horizontal="center" wrapText="1"/>
    </xf>
    <xf numFmtId="4" fontId="20" fillId="3" borderId="200" xfId="20" applyNumberFormat="1" applyFont="1" applyFill="1" applyBorder="1" applyAlignment="1">
      <alignment horizontal="center" wrapText="1"/>
    </xf>
    <xf numFmtId="4" fontId="20" fillId="0" borderId="62" xfId="3" applyNumberFormat="1" applyFont="1" applyBorder="1" applyAlignment="1">
      <alignment horizontal="center" wrapText="1"/>
    </xf>
    <xf numFmtId="4" fontId="0" fillId="0" borderId="200" xfId="0" applyNumberFormat="1" applyBorder="1" applyAlignment="1">
      <alignment horizontal="center"/>
    </xf>
    <xf numFmtId="4" fontId="0" fillId="0" borderId="201" xfId="0" applyNumberFormat="1" applyBorder="1" applyAlignment="1">
      <alignment horizontal="center"/>
    </xf>
    <xf numFmtId="4" fontId="20" fillId="0" borderId="200" xfId="20" applyNumberFormat="1" applyFont="1" applyBorder="1" applyAlignment="1">
      <alignment horizontal="center" wrapText="1"/>
    </xf>
    <xf numFmtId="4" fontId="20" fillId="0" borderId="202" xfId="3" applyNumberFormat="1" applyFont="1" applyBorder="1" applyAlignment="1">
      <alignment horizontal="center" wrapText="1"/>
    </xf>
    <xf numFmtId="4" fontId="0" fillId="0" borderId="173" xfId="0" applyNumberFormat="1" applyBorder="1" applyAlignment="1">
      <alignment horizontal="center"/>
    </xf>
    <xf numFmtId="4" fontId="3" fillId="0" borderId="202" xfId="25" applyNumberFormat="1" applyFont="1" applyBorder="1" applyAlignment="1">
      <alignment horizontal="center" wrapText="1"/>
    </xf>
    <xf numFmtId="4" fontId="3" fillId="0" borderId="198" xfId="25" applyNumberFormat="1" applyFont="1" applyBorder="1" applyAlignment="1">
      <alignment horizontal="center" wrapText="1"/>
    </xf>
    <xf numFmtId="4" fontId="20" fillId="0" borderId="198" xfId="20" applyNumberFormat="1" applyFont="1" applyBorder="1" applyAlignment="1">
      <alignment horizontal="center" wrapText="1"/>
    </xf>
    <xf numFmtId="4" fontId="3" fillId="0" borderId="173" xfId="25" applyNumberFormat="1" applyFont="1" applyBorder="1" applyAlignment="1">
      <alignment horizontal="center" wrapText="1"/>
    </xf>
    <xf numFmtId="4" fontId="3" fillId="0" borderId="184" xfId="26" applyNumberFormat="1" applyFont="1" applyBorder="1" applyAlignment="1">
      <alignment horizontal="center" wrapText="1"/>
    </xf>
    <xf numFmtId="4" fontId="3" fillId="0" borderId="184" xfId="5" applyNumberFormat="1" applyFont="1" applyBorder="1" applyAlignment="1">
      <alignment horizontal="center" wrapText="1"/>
    </xf>
    <xf numFmtId="4" fontId="20" fillId="0" borderId="184" xfId="17" applyNumberFormat="1" applyFont="1" applyBorder="1" applyAlignment="1">
      <alignment horizontal="center" wrapText="1"/>
    </xf>
    <xf numFmtId="4" fontId="3" fillId="0" borderId="185" xfId="26" applyNumberFormat="1" applyFont="1" applyBorder="1" applyAlignment="1">
      <alignment horizontal="center" wrapText="1"/>
    </xf>
    <xf numFmtId="4" fontId="3" fillId="0" borderId="200" xfId="26" applyNumberFormat="1" applyFont="1" applyBorder="1" applyAlignment="1">
      <alignment horizontal="center" wrapText="1"/>
    </xf>
    <xf numFmtId="4" fontId="3" fillId="0" borderId="200" xfId="5" applyNumberFormat="1" applyFont="1" applyBorder="1" applyAlignment="1">
      <alignment horizontal="center" wrapText="1"/>
    </xf>
    <xf numFmtId="4" fontId="20" fillId="0" borderId="200" xfId="17" applyNumberFormat="1" applyFont="1" applyBorder="1" applyAlignment="1">
      <alignment horizontal="center" wrapText="1"/>
    </xf>
    <xf numFmtId="4" fontId="3" fillId="0" borderId="201" xfId="26" applyNumberFormat="1" applyFont="1" applyBorder="1" applyAlignment="1">
      <alignment horizontal="center" wrapText="1"/>
    </xf>
    <xf numFmtId="4" fontId="3" fillId="0" borderId="200" xfId="12" applyNumberFormat="1" applyFont="1" applyBorder="1" applyAlignment="1">
      <alignment horizontal="center" wrapText="1"/>
    </xf>
    <xf numFmtId="4" fontId="20" fillId="0" borderId="200" xfId="5" applyNumberFormat="1" applyFont="1" applyBorder="1" applyAlignment="1">
      <alignment horizontal="center" wrapText="1"/>
    </xf>
    <xf numFmtId="4" fontId="20" fillId="0" borderId="200" xfId="19" applyNumberFormat="1" applyFont="1" applyBorder="1" applyAlignment="1">
      <alignment horizontal="center" wrapText="1"/>
    </xf>
    <xf numFmtId="4" fontId="3" fillId="0" borderId="201" xfId="12" applyNumberFormat="1" applyFont="1" applyBorder="1" applyAlignment="1">
      <alignment horizontal="center" wrapText="1"/>
    </xf>
    <xf numFmtId="4" fontId="3" fillId="0" borderId="198" xfId="26" applyNumberFormat="1" applyFont="1" applyBorder="1" applyAlignment="1">
      <alignment horizontal="center" wrapText="1"/>
    </xf>
    <xf numFmtId="4" fontId="20" fillId="0" borderId="198" xfId="5" applyNumberFormat="1" applyFont="1" applyBorder="1" applyAlignment="1">
      <alignment horizontal="center" wrapText="1"/>
    </xf>
    <xf numFmtId="4" fontId="20" fillId="0" borderId="198" xfId="19" applyNumberFormat="1" applyFont="1" applyBorder="1" applyAlignment="1">
      <alignment horizontal="center" wrapText="1"/>
    </xf>
    <xf numFmtId="4" fontId="3" fillId="0" borderId="173" xfId="26" applyNumberFormat="1" applyFont="1" applyBorder="1" applyAlignment="1">
      <alignment horizontal="center" wrapText="1"/>
    </xf>
    <xf numFmtId="4" fontId="3" fillId="3" borderId="203" xfId="25" applyNumberFormat="1" applyFont="1" applyFill="1" applyBorder="1" applyAlignment="1">
      <alignment horizontal="center" wrapText="1"/>
    </xf>
    <xf numFmtId="4" fontId="3" fillId="3" borderId="203" xfId="26" applyNumberFormat="1" applyFont="1" applyFill="1" applyBorder="1" applyAlignment="1">
      <alignment horizontal="center" wrapText="1"/>
    </xf>
    <xf numFmtId="4" fontId="3" fillId="3" borderId="184" xfId="69" applyNumberFormat="1" applyFont="1" applyFill="1" applyBorder="1" applyAlignment="1">
      <alignment horizontal="center" wrapText="1"/>
    </xf>
    <xf numFmtId="4" fontId="20" fillId="3" borderId="206" xfId="6" applyNumberFormat="1" applyFont="1" applyFill="1" applyBorder="1" applyAlignment="1">
      <alignment horizontal="center" wrapText="1"/>
    </xf>
    <xf numFmtId="4" fontId="3" fillId="3" borderId="207" xfId="69" applyNumberFormat="1" applyFont="1" applyFill="1" applyBorder="1" applyAlignment="1">
      <alignment horizontal="center" wrapText="1"/>
    </xf>
    <xf numFmtId="4" fontId="3" fillId="3" borderId="207" xfId="26" applyNumberFormat="1" applyFont="1" applyFill="1" applyBorder="1" applyAlignment="1">
      <alignment horizontal="center" wrapText="1"/>
    </xf>
    <xf numFmtId="0" fontId="1" fillId="3" borderId="41" xfId="0" applyFont="1" applyFill="1" applyBorder="1" applyAlignment="1">
      <alignment horizontal="center"/>
    </xf>
    <xf numFmtId="0" fontId="1" fillId="3" borderId="118" xfId="0" applyFont="1" applyFill="1" applyBorder="1" applyAlignment="1">
      <alignment horizontal="center"/>
    </xf>
    <xf numFmtId="0" fontId="1" fillId="3" borderId="208" xfId="0" applyFont="1" applyFill="1" applyBorder="1" applyAlignment="1">
      <alignment horizontal="center"/>
    </xf>
    <xf numFmtId="0" fontId="1" fillId="3" borderId="209" xfId="0" applyFont="1" applyFill="1" applyBorder="1" applyAlignment="1">
      <alignment horizontal="center"/>
    </xf>
    <xf numFmtId="4" fontId="3" fillId="3" borderId="142" xfId="69" applyNumberFormat="1" applyFont="1" applyFill="1" applyBorder="1" applyAlignment="1">
      <alignment horizontal="center" wrapText="1"/>
    </xf>
    <xf numFmtId="4" fontId="3" fillId="3" borderId="210" xfId="69" applyNumberFormat="1" applyFont="1" applyFill="1" applyBorder="1" applyAlignment="1">
      <alignment horizontal="center" wrapText="1"/>
    </xf>
    <xf numFmtId="4" fontId="3" fillId="3" borderId="211" xfId="69" applyNumberFormat="1" applyFont="1" applyFill="1" applyBorder="1" applyAlignment="1">
      <alignment horizontal="center" wrapText="1"/>
    </xf>
    <xf numFmtId="4" fontId="3" fillId="3" borderId="212" xfId="69" applyNumberFormat="1" applyFont="1" applyFill="1" applyBorder="1" applyAlignment="1">
      <alignment horizontal="center" wrapText="1"/>
    </xf>
    <xf numFmtId="4" fontId="20" fillId="3" borderId="213" xfId="6" applyNumberFormat="1" applyFont="1" applyFill="1" applyBorder="1" applyAlignment="1">
      <alignment horizontal="center" wrapText="1"/>
    </xf>
    <xf numFmtId="4" fontId="3" fillId="3" borderId="213" xfId="69" applyNumberFormat="1" applyFont="1" applyFill="1" applyBorder="1" applyAlignment="1">
      <alignment horizontal="center" wrapText="1"/>
    </xf>
    <xf numFmtId="4" fontId="3" fillId="3" borderId="213" xfId="26" applyNumberFormat="1" applyFont="1" applyFill="1" applyBorder="1" applyAlignment="1">
      <alignment horizontal="center" wrapText="1"/>
    </xf>
    <xf numFmtId="4" fontId="3" fillId="3" borderId="214" xfId="26" applyNumberFormat="1" applyFont="1" applyFill="1" applyBorder="1" applyAlignment="1">
      <alignment horizontal="center" wrapText="1"/>
    </xf>
    <xf numFmtId="4" fontId="1" fillId="3" borderId="42" xfId="0" applyNumberFormat="1" applyFont="1" applyFill="1" applyBorder="1" applyAlignment="1">
      <alignment horizontal="center"/>
    </xf>
    <xf numFmtId="2" fontId="1" fillId="3" borderId="46" xfId="0" applyNumberFormat="1" applyFont="1" applyFill="1" applyBorder="1" applyAlignment="1">
      <alignment horizontal="center"/>
    </xf>
    <xf numFmtId="2" fontId="1" fillId="3" borderId="47" xfId="0" applyNumberFormat="1" applyFont="1" applyFill="1" applyBorder="1" applyAlignment="1">
      <alignment horizontal="center"/>
    </xf>
    <xf numFmtId="4" fontId="3" fillId="0" borderId="150" xfId="26" applyNumberFormat="1" applyFont="1" applyBorder="1" applyAlignment="1">
      <alignment horizontal="center" wrapText="1"/>
    </xf>
    <xf numFmtId="4" fontId="3" fillId="0" borderId="150" xfId="5" applyNumberFormat="1" applyFont="1" applyBorder="1" applyAlignment="1">
      <alignment horizontal="center" wrapText="1"/>
    </xf>
    <xf numFmtId="164" fontId="20" fillId="0" borderId="188" xfId="1" applyNumberFormat="1" applyFont="1" applyBorder="1" applyAlignment="1">
      <alignment horizontal="center" wrapText="1"/>
    </xf>
    <xf numFmtId="164" fontId="20" fillId="0" borderId="204" xfId="1" applyNumberFormat="1" applyFont="1" applyBorder="1" applyAlignment="1">
      <alignment horizontal="center" wrapText="1"/>
    </xf>
    <xf numFmtId="164" fontId="20" fillId="0" borderId="145" xfId="1" applyNumberFormat="1" applyFont="1" applyBorder="1" applyAlignment="1">
      <alignment horizontal="center" wrapText="1"/>
    </xf>
    <xf numFmtId="4" fontId="3" fillId="3" borderId="216" xfId="69" applyNumberFormat="1" applyFont="1" applyFill="1" applyBorder="1" applyAlignment="1">
      <alignment horizontal="center" wrapText="1"/>
    </xf>
    <xf numFmtId="0" fontId="1" fillId="3" borderId="206" xfId="0" applyFont="1" applyFill="1" applyBorder="1" applyAlignment="1">
      <alignment horizontal="center"/>
    </xf>
    <xf numFmtId="16" fontId="1" fillId="3" borderId="206" xfId="0" applyNumberFormat="1" applyFont="1" applyFill="1" applyBorder="1" applyAlignment="1">
      <alignment horizontal="center"/>
    </xf>
    <xf numFmtId="4" fontId="3" fillId="2" borderId="191" xfId="25" applyNumberFormat="1" applyFont="1" applyFill="1" applyBorder="1" applyAlignment="1">
      <alignment horizontal="center" wrapText="1"/>
    </xf>
    <xf numFmtId="4" fontId="3" fillId="2" borderId="186" xfId="25" applyNumberFormat="1" applyFont="1" applyFill="1" applyBorder="1" applyAlignment="1">
      <alignment horizontal="center" wrapText="1"/>
    </xf>
    <xf numFmtId="43" fontId="4" fillId="2" borderId="184" xfId="7" applyFont="1" applyFill="1" applyBorder="1"/>
    <xf numFmtId="43" fontId="4" fillId="2" borderId="185" xfId="7" applyFont="1" applyFill="1" applyBorder="1"/>
    <xf numFmtId="43" fontId="4" fillId="2" borderId="147" xfId="0" applyNumberFormat="1" applyFont="1" applyFill="1" applyBorder="1"/>
    <xf numFmtId="0" fontId="4" fillId="2" borderId="0" xfId="0" applyFont="1" applyFill="1"/>
    <xf numFmtId="4" fontId="20" fillId="2" borderId="147" xfId="25" applyNumberFormat="1" applyFont="1" applyFill="1" applyBorder="1" applyAlignment="1">
      <alignment horizontal="center" wrapText="1"/>
    </xf>
    <xf numFmtId="4" fontId="20" fillId="2" borderId="192" xfId="25" applyNumberFormat="1" applyFont="1" applyFill="1" applyBorder="1" applyAlignment="1">
      <alignment horizontal="center" wrapText="1"/>
    </xf>
    <xf numFmtId="4" fontId="0" fillId="2" borderId="191" xfId="0" applyNumberFormat="1" applyFill="1" applyBorder="1" applyAlignment="1">
      <alignment horizontal="center"/>
    </xf>
    <xf numFmtId="4" fontId="0" fillId="2" borderId="186" xfId="0" applyNumberFormat="1" applyFill="1" applyBorder="1" applyAlignment="1">
      <alignment horizontal="center"/>
    </xf>
    <xf numFmtId="4" fontId="0" fillId="2" borderId="194" xfId="0" applyNumberFormat="1" applyFill="1" applyBorder="1" applyAlignment="1">
      <alignment horizontal="center"/>
    </xf>
    <xf numFmtId="164" fontId="20" fillId="2" borderId="50" xfId="2" applyNumberFormat="1" applyFont="1" applyFill="1" applyBorder="1" applyAlignment="1">
      <alignment horizontal="center" wrapText="1"/>
    </xf>
    <xf numFmtId="4" fontId="4" fillId="2" borderId="62" xfId="0" applyNumberFormat="1" applyFont="1" applyFill="1" applyBorder="1" applyAlignment="1">
      <alignment horizontal="center"/>
    </xf>
    <xf numFmtId="4" fontId="0" fillId="2" borderId="200" xfId="0" applyNumberFormat="1" applyFill="1" applyBorder="1" applyAlignment="1">
      <alignment horizontal="center"/>
    </xf>
    <xf numFmtId="4" fontId="0" fillId="2" borderId="201" xfId="0" applyNumberFormat="1" applyFill="1" applyBorder="1" applyAlignment="1">
      <alignment horizontal="center"/>
    </xf>
    <xf numFmtId="4" fontId="3" fillId="2" borderId="62" xfId="25" applyNumberFormat="1" applyFont="1" applyFill="1" applyBorder="1" applyAlignment="1">
      <alignment horizontal="center" wrapText="1"/>
    </xf>
    <xf numFmtId="4" fontId="3" fillId="2" borderId="200" xfId="25" applyNumberFormat="1" applyFont="1" applyFill="1" applyBorder="1" applyAlignment="1">
      <alignment horizontal="center" wrapText="1"/>
    </xf>
    <xf numFmtId="4" fontId="20" fillId="2" borderId="200" xfId="16" applyNumberFormat="1" applyFont="1" applyFill="1" applyBorder="1" applyAlignment="1">
      <alignment horizontal="center" wrapText="1"/>
    </xf>
    <xf numFmtId="4" fontId="3" fillId="2" borderId="201" xfId="25" applyNumberFormat="1" applyFont="1" applyFill="1" applyBorder="1" applyAlignment="1">
      <alignment horizontal="center" wrapText="1"/>
    </xf>
    <xf numFmtId="164" fontId="20" fillId="3" borderId="180" xfId="3" applyNumberFormat="1" applyFont="1" applyFill="1" applyBorder="1" applyAlignment="1">
      <alignment horizontal="center" wrapText="1"/>
    </xf>
    <xf numFmtId="164" fontId="20" fillId="3" borderId="145" xfId="3" applyNumberFormat="1" applyFont="1" applyFill="1" applyBorder="1" applyAlignment="1">
      <alignment horizontal="center" wrapText="1"/>
    </xf>
    <xf numFmtId="164" fontId="20" fillId="3" borderId="188" xfId="3" applyNumberFormat="1" applyFont="1" applyFill="1" applyBorder="1" applyAlignment="1">
      <alignment horizontal="center" wrapText="1"/>
    </xf>
    <xf numFmtId="4" fontId="20" fillId="3" borderId="189" xfId="25" applyNumberFormat="1" applyFont="1" applyFill="1" applyBorder="1" applyAlignment="1">
      <alignment horizontal="center" wrapText="1"/>
    </xf>
    <xf numFmtId="4" fontId="20" fillId="3" borderId="185" xfId="25" applyNumberFormat="1" applyFont="1" applyFill="1" applyBorder="1" applyAlignment="1">
      <alignment horizontal="center" wrapText="1"/>
    </xf>
    <xf numFmtId="4" fontId="20" fillId="3" borderId="75" xfId="25" applyNumberFormat="1" applyFont="1" applyFill="1" applyBorder="1" applyAlignment="1">
      <alignment horizontal="center" wrapText="1"/>
    </xf>
    <xf numFmtId="4" fontId="20" fillId="3" borderId="76" xfId="25" applyNumberFormat="1" applyFont="1" applyFill="1" applyBorder="1" applyAlignment="1">
      <alignment horizontal="center" wrapText="1"/>
    </xf>
    <xf numFmtId="4" fontId="20" fillId="3" borderId="75" xfId="20" applyNumberFormat="1" applyFont="1" applyFill="1" applyBorder="1" applyAlignment="1">
      <alignment horizontal="center" wrapText="1"/>
    </xf>
    <xf numFmtId="4" fontId="20" fillId="3" borderId="76" xfId="20" applyNumberFormat="1" applyFont="1" applyFill="1" applyBorder="1" applyAlignment="1">
      <alignment horizontal="center" wrapText="1"/>
    </xf>
    <xf numFmtId="4" fontId="20" fillId="3" borderId="78" xfId="25" applyNumberFormat="1" applyFont="1" applyFill="1" applyBorder="1" applyAlignment="1">
      <alignment horizontal="center" wrapText="1"/>
    </xf>
    <xf numFmtId="4" fontId="20" fillId="3" borderId="83" xfId="25" applyNumberFormat="1" applyFont="1" applyFill="1" applyBorder="1" applyAlignment="1">
      <alignment horizontal="center" wrapText="1"/>
    </xf>
    <xf numFmtId="164" fontId="20" fillId="2" borderId="180" xfId="3" applyNumberFormat="1" applyFont="1" applyFill="1" applyBorder="1" applyAlignment="1">
      <alignment horizontal="center" wrapText="1"/>
    </xf>
    <xf numFmtId="4" fontId="20" fillId="2" borderId="75" xfId="25" applyNumberFormat="1" applyFont="1" applyFill="1" applyBorder="1" applyAlignment="1">
      <alignment horizontal="center" wrapText="1"/>
    </xf>
    <xf numFmtId="4" fontId="20" fillId="2" borderId="76" xfId="25" applyNumberFormat="1" applyFont="1" applyFill="1" applyBorder="1" applyAlignment="1">
      <alignment horizontal="center" wrapText="1"/>
    </xf>
    <xf numFmtId="4" fontId="3" fillId="2" borderId="207" xfId="69" applyNumberFormat="1" applyFont="1" applyFill="1" applyBorder="1" applyAlignment="1">
      <alignment horizontal="center" wrapText="1"/>
    </xf>
    <xf numFmtId="164" fontId="20" fillId="2" borderId="147" xfId="1" applyNumberFormat="1" applyFont="1" applyFill="1" applyBorder="1" applyAlignment="1">
      <alignment horizontal="center" wrapText="1"/>
    </xf>
    <xf numFmtId="4" fontId="3" fillId="2" borderId="157" xfId="25" applyNumberFormat="1" applyFont="1" applyFill="1" applyBorder="1" applyAlignment="1">
      <alignment horizontal="center" wrapText="1"/>
    </xf>
    <xf numFmtId="164" fontId="20" fillId="2" borderId="204" xfId="1" applyNumberFormat="1" applyFont="1" applyFill="1" applyBorder="1" applyAlignment="1">
      <alignment horizontal="center" wrapText="1"/>
    </xf>
    <xf numFmtId="4" fontId="3" fillId="2" borderId="203" xfId="25" applyNumberFormat="1" applyFont="1" applyFill="1" applyBorder="1" applyAlignment="1">
      <alignment horizontal="center" wrapText="1"/>
    </xf>
    <xf numFmtId="4" fontId="20" fillId="2" borderId="205" xfId="6" applyNumberFormat="1" applyFont="1" applyFill="1" applyBorder="1" applyAlignment="1">
      <alignment horizontal="center" wrapText="1"/>
    </xf>
    <xf numFmtId="4" fontId="3" fillId="2" borderId="205" xfId="69" applyNumberFormat="1" applyFont="1" applyFill="1" applyBorder="1" applyAlignment="1">
      <alignment horizontal="center" wrapText="1"/>
    </xf>
    <xf numFmtId="4" fontId="3" fillId="2" borderId="211" xfId="69" applyNumberFormat="1" applyFont="1" applyFill="1" applyBorder="1" applyAlignment="1">
      <alignment horizontal="center" wrapText="1"/>
    </xf>
    <xf numFmtId="4" fontId="3" fillId="2" borderId="212" xfId="69" applyNumberFormat="1" applyFont="1" applyFill="1" applyBorder="1" applyAlignment="1">
      <alignment horizontal="center" wrapText="1"/>
    </xf>
    <xf numFmtId="4" fontId="3" fillId="2" borderId="200" xfId="26" applyNumberFormat="1" applyFont="1" applyFill="1" applyBorder="1" applyAlignment="1">
      <alignment horizontal="center" wrapText="1"/>
    </xf>
    <xf numFmtId="4" fontId="3" fillId="2" borderId="200" xfId="5" applyNumberFormat="1" applyFont="1" applyFill="1" applyBorder="1" applyAlignment="1">
      <alignment horizontal="center" wrapText="1"/>
    </xf>
    <xf numFmtId="4" fontId="3" fillId="2" borderId="150" xfId="26" applyNumberFormat="1" applyFont="1" applyFill="1" applyBorder="1" applyAlignment="1">
      <alignment horizontal="center" wrapText="1"/>
    </xf>
    <xf numFmtId="4" fontId="3" fillId="2" borderId="150" xfId="5" applyNumberFormat="1" applyFont="1" applyFill="1" applyBorder="1" applyAlignment="1">
      <alignment horizontal="center" wrapText="1"/>
    </xf>
    <xf numFmtId="4" fontId="20" fillId="2" borderId="200" xfId="17" applyNumberFormat="1" applyFont="1" applyFill="1" applyBorder="1" applyAlignment="1">
      <alignment horizontal="center" wrapText="1"/>
    </xf>
    <xf numFmtId="4" fontId="3" fillId="2" borderId="201" xfId="26" applyNumberFormat="1" applyFont="1" applyFill="1" applyBorder="1" applyAlignment="1">
      <alignment horizontal="center" wrapText="1"/>
    </xf>
    <xf numFmtId="4" fontId="20" fillId="2" borderId="157" xfId="25" applyNumberFormat="1" applyFont="1" applyFill="1" applyBorder="1" applyAlignment="1">
      <alignment horizontal="center" wrapText="1"/>
    </xf>
    <xf numFmtId="4" fontId="20" fillId="2" borderId="126" xfId="26" applyNumberFormat="1" applyFont="1" applyFill="1" applyBorder="1" applyAlignment="1">
      <alignment horizontal="center" wrapText="1"/>
    </xf>
    <xf numFmtId="4" fontId="20" fillId="2" borderId="155" xfId="18" applyNumberFormat="1" applyFont="1" applyFill="1" applyBorder="1" applyAlignment="1">
      <alignment horizontal="center" wrapText="1"/>
    </xf>
    <xf numFmtId="4" fontId="20" fillId="2" borderId="156" xfId="18" applyNumberFormat="1" applyFont="1" applyFill="1" applyBorder="1" applyAlignment="1">
      <alignment horizontal="center" wrapText="1"/>
    </xf>
    <xf numFmtId="164" fontId="20" fillId="2" borderId="180" xfId="1" applyNumberFormat="1" applyFont="1" applyFill="1" applyBorder="1" applyAlignment="1">
      <alignment horizontal="center" wrapText="1"/>
    </xf>
    <xf numFmtId="4" fontId="20" fillId="2" borderId="179" xfId="25" applyNumberFormat="1" applyFont="1" applyFill="1" applyBorder="1" applyAlignment="1">
      <alignment horizontal="center" wrapText="1"/>
    </xf>
    <xf numFmtId="4" fontId="20" fillId="2" borderId="179" xfId="26" applyNumberFormat="1" applyFont="1" applyFill="1" applyBorder="1" applyAlignment="1">
      <alignment horizontal="center" wrapText="1"/>
    </xf>
    <xf numFmtId="4" fontId="3" fillId="2" borderId="147" xfId="25" applyNumberFormat="1" applyFont="1" applyFill="1" applyBorder="1" applyAlignment="1">
      <alignment horizontal="center" wrapText="1"/>
    </xf>
    <xf numFmtId="43" fontId="4" fillId="2" borderId="147" xfId="7" applyFont="1" applyFill="1" applyBorder="1"/>
    <xf numFmtId="43" fontId="4" fillId="2" borderId="175" xfId="7" applyFont="1" applyFill="1" applyBorder="1"/>
    <xf numFmtId="4" fontId="20" fillId="2" borderId="176" xfId="26" applyNumberFormat="1" applyFont="1" applyFill="1" applyBorder="1" applyAlignment="1">
      <alignment horizontal="center" wrapText="1"/>
    </xf>
    <xf numFmtId="43" fontId="4" fillId="2" borderId="147" xfId="7" applyFont="1" applyFill="1" applyBorder="1" applyAlignment="1">
      <alignment horizontal="center"/>
    </xf>
    <xf numFmtId="167" fontId="3" fillId="2" borderId="147" xfId="25" applyNumberFormat="1" applyFont="1" applyFill="1" applyBorder="1" applyAlignment="1">
      <alignment horizontal="center" wrapText="1"/>
    </xf>
    <xf numFmtId="4" fontId="3" fillId="2" borderId="147" xfId="68" applyNumberFormat="1" applyFont="1" applyFill="1" applyBorder="1" applyAlignment="1">
      <alignment horizontal="center" wrapText="1"/>
    </xf>
    <xf numFmtId="4" fontId="5" fillId="2" borderId="147" xfId="0" applyNumberFormat="1" applyFont="1" applyFill="1" applyBorder="1" applyAlignment="1">
      <alignment horizontal="center"/>
    </xf>
    <xf numFmtId="168" fontId="4" fillId="2" borderId="147" xfId="0" applyNumberFormat="1" applyFont="1" applyFill="1" applyBorder="1" applyAlignment="1">
      <alignment horizontal="center"/>
    </xf>
    <xf numFmtId="4" fontId="20" fillId="2" borderId="147" xfId="1" applyNumberFormat="1" applyFont="1" applyFill="1" applyBorder="1" applyAlignment="1">
      <alignment horizontal="center" wrapText="1"/>
    </xf>
    <xf numFmtId="4" fontId="20" fillId="2" borderId="186" xfId="1" applyNumberFormat="1" applyFont="1" applyFill="1" applyBorder="1" applyAlignment="1">
      <alignment horizontal="center" wrapText="1"/>
    </xf>
    <xf numFmtId="4" fontId="20" fillId="2" borderId="187" xfId="1" applyNumberFormat="1" applyFont="1" applyFill="1" applyBorder="1" applyAlignment="1">
      <alignment horizontal="center" wrapText="1"/>
    </xf>
    <xf numFmtId="4" fontId="20" fillId="2" borderId="147" xfId="13" applyNumberFormat="1" applyFont="1" applyFill="1" applyBorder="1" applyAlignment="1">
      <alignment horizontal="center" wrapText="1"/>
    </xf>
    <xf numFmtId="4" fontId="20" fillId="2" borderId="169" xfId="13" applyNumberFormat="1" applyFont="1" applyFill="1" applyBorder="1" applyAlignment="1">
      <alignment horizontal="center" wrapText="1"/>
    </xf>
    <xf numFmtId="4" fontId="20" fillId="2" borderId="186" xfId="26" applyNumberFormat="1" applyFont="1" applyFill="1" applyBorder="1" applyAlignment="1">
      <alignment horizontal="center" wrapText="1"/>
    </xf>
    <xf numFmtId="4" fontId="20" fillId="2" borderId="172" xfId="26" applyNumberFormat="1" applyFont="1" applyFill="1" applyBorder="1" applyAlignment="1">
      <alignment horizontal="center" wrapText="1"/>
    </xf>
    <xf numFmtId="4" fontId="20" fillId="2" borderId="170" xfId="1" applyNumberFormat="1" applyFont="1" applyFill="1" applyBorder="1" applyAlignment="1">
      <alignment horizontal="center" wrapText="1"/>
    </xf>
    <xf numFmtId="4" fontId="20" fillId="2" borderId="147" xfId="4" applyNumberFormat="1" applyFont="1" applyFill="1" applyBorder="1" applyAlignment="1">
      <alignment horizontal="center" wrapText="1"/>
    </xf>
    <xf numFmtId="169" fontId="3" fillId="2" borderId="147" xfId="12" applyNumberFormat="1" applyFont="1" applyFill="1" applyBorder="1" applyAlignment="1">
      <alignment horizontal="center" wrapText="1"/>
    </xf>
    <xf numFmtId="0" fontId="4" fillId="2" borderId="147" xfId="0" applyFont="1" applyFill="1" applyBorder="1" applyAlignment="1">
      <alignment horizontal="center"/>
    </xf>
    <xf numFmtId="4" fontId="5" fillId="2" borderId="215" xfId="0" applyNumberFormat="1" applyFont="1" applyFill="1" applyBorder="1" applyAlignment="1">
      <alignment horizontal="center"/>
    </xf>
    <xf numFmtId="0" fontId="12" fillId="2" borderId="150" xfId="9" applyFill="1" applyBorder="1" applyAlignment="1">
      <alignment horizontal="center" vertical="center"/>
    </xf>
    <xf numFmtId="3" fontId="7" fillId="2" borderId="150" xfId="9" applyNumberFormat="1" applyFont="1" applyFill="1" applyBorder="1" applyAlignment="1">
      <alignment horizontal="center" vertical="center"/>
    </xf>
    <xf numFmtId="0" fontId="7" fillId="0" borderId="0" xfId="71" applyAlignment="1"/>
    <xf numFmtId="0" fontId="7" fillId="0" borderId="0" xfId="71" applyAlignment="1">
      <alignment horizontal="center"/>
    </xf>
    <xf numFmtId="0" fontId="7" fillId="0" borderId="158" xfId="71" applyBorder="1" applyAlignment="1">
      <alignment horizontal="center"/>
    </xf>
    <xf numFmtId="2" fontId="7" fillId="0" borderId="0" xfId="71" applyNumberFormat="1" applyAlignment="1"/>
    <xf numFmtId="0" fontId="7" fillId="0" borderId="0" xfId="71" applyAlignment="1">
      <alignment horizontal="right"/>
    </xf>
    <xf numFmtId="4" fontId="7" fillId="0" borderId="0" xfId="71" applyNumberFormat="1" applyAlignment="1"/>
    <xf numFmtId="0" fontId="7" fillId="0" borderId="3" xfId="71" applyBorder="1" applyAlignment="1"/>
    <xf numFmtId="0" fontId="7" fillId="0" borderId="15" xfId="71" applyBorder="1" applyAlignment="1"/>
    <xf numFmtId="0" fontId="7" fillId="0" borderId="0" xfId="71" applyAlignment="1">
      <alignment horizontal="left"/>
    </xf>
    <xf numFmtId="0" fontId="7" fillId="0" borderId="15" xfId="71" applyBorder="1" applyAlignment="1">
      <alignment horizontal="center"/>
    </xf>
    <xf numFmtId="0" fontId="7" fillId="0" borderId="117" xfId="71" applyBorder="1" applyAlignment="1"/>
    <xf numFmtId="0" fontId="0" fillId="0" borderId="116" xfId="0" applyBorder="1"/>
    <xf numFmtId="0" fontId="7" fillId="0" borderId="217" xfId="71" applyBorder="1" applyAlignment="1">
      <alignment horizontal="left"/>
    </xf>
    <xf numFmtId="0" fontId="7" fillId="0" borderId="218" xfId="71" applyBorder="1" applyAlignment="1">
      <alignment horizontal="center"/>
    </xf>
    <xf numFmtId="0" fontId="7" fillId="0" borderId="219" xfId="71" applyBorder="1" applyAlignment="1"/>
    <xf numFmtId="3" fontId="7" fillId="0" borderId="218" xfId="71" applyNumberFormat="1" applyBorder="1" applyAlignment="1"/>
    <xf numFmtId="168" fontId="7" fillId="0" borderId="218" xfId="71" applyNumberFormat="1" applyBorder="1" applyAlignment="1"/>
    <xf numFmtId="1" fontId="7" fillId="0" borderId="0" xfId="71" applyNumberFormat="1" applyAlignment="1"/>
    <xf numFmtId="0" fontId="7" fillId="0" borderId="29" xfId="71" applyBorder="1" applyAlignment="1"/>
    <xf numFmtId="1" fontId="7" fillId="0" borderId="29" xfId="71" applyNumberFormat="1" applyBorder="1" applyAlignment="1"/>
    <xf numFmtId="0" fontId="7" fillId="0" borderId="219" xfId="71" applyBorder="1" applyAlignment="1">
      <alignment horizontal="center"/>
    </xf>
    <xf numFmtId="165" fontId="7" fillId="0" borderId="0" xfId="71" applyNumberFormat="1" applyAlignment="1"/>
    <xf numFmtId="0" fontId="7" fillId="0" borderId="218" xfId="71" applyBorder="1" applyAlignment="1"/>
    <xf numFmtId="0" fontId="7" fillId="0" borderId="181" xfId="71" applyBorder="1" applyAlignment="1"/>
    <xf numFmtId="168" fontId="7" fillId="0" borderId="0" xfId="71" applyNumberFormat="1" applyAlignment="1"/>
    <xf numFmtId="0" fontId="7" fillId="0" borderId="217" xfId="71" applyBorder="1" applyAlignment="1"/>
    <xf numFmtId="0" fontId="7" fillId="0" borderId="217" xfId="71" applyBorder="1" applyAlignment="1">
      <alignment horizontal="center"/>
    </xf>
    <xf numFmtId="3" fontId="7" fillId="0" borderId="218" xfId="71" applyNumberFormat="1" applyBorder="1" applyAlignment="1">
      <alignment horizontal="right"/>
    </xf>
    <xf numFmtId="0" fontId="7" fillId="0" borderId="0" xfId="71" applyAlignment="1">
      <alignment horizontal="left" vertical="center"/>
    </xf>
    <xf numFmtId="0" fontId="7" fillId="0" borderId="181" xfId="71" applyBorder="1" applyAlignment="1">
      <alignment horizontal="right"/>
    </xf>
    <xf numFmtId="0" fontId="7" fillId="0" borderId="219" xfId="71" applyBorder="1" applyAlignment="1">
      <alignment horizontal="left"/>
    </xf>
    <xf numFmtId="0" fontId="7" fillId="0" borderId="219" xfId="71" applyBorder="1" applyAlignment="1">
      <alignment horizontal="right"/>
    </xf>
    <xf numFmtId="4" fontId="1" fillId="0" borderId="43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4" fontId="1" fillId="0" borderId="49" xfId="0" applyNumberFormat="1" applyFont="1" applyBorder="1" applyAlignment="1">
      <alignment horizontal="center"/>
    </xf>
    <xf numFmtId="164" fontId="22" fillId="2" borderId="9" xfId="3" applyNumberFormat="1" applyFont="1" applyFill="1" applyBorder="1" applyAlignment="1">
      <alignment horizontal="center" wrapText="1"/>
    </xf>
    <xf numFmtId="4" fontId="3" fillId="0" borderId="209" xfId="72" applyNumberFormat="1" applyFont="1" applyBorder="1" applyAlignment="1">
      <alignment horizontal="center" wrapText="1"/>
    </xf>
    <xf numFmtId="4" fontId="0" fillId="0" borderId="208" xfId="0" applyNumberFormat="1" applyBorder="1" applyAlignment="1">
      <alignment horizontal="center"/>
    </xf>
    <xf numFmtId="0" fontId="0" fillId="0" borderId="117" xfId="0" applyBorder="1" applyAlignment="1">
      <alignment horizontal="center"/>
    </xf>
    <xf numFmtId="4" fontId="3" fillId="0" borderId="220" xfId="72" applyNumberFormat="1" applyFont="1" applyBorder="1" applyAlignment="1">
      <alignment horizontal="center" wrapText="1"/>
    </xf>
    <xf numFmtId="4" fontId="0" fillId="0" borderId="213" xfId="0" applyNumberFormat="1" applyBorder="1" applyAlignment="1">
      <alignment horizontal="center"/>
    </xf>
    <xf numFmtId="0" fontId="0" fillId="0" borderId="191" xfId="0" applyBorder="1" applyAlignment="1">
      <alignment horizontal="center"/>
    </xf>
    <xf numFmtId="4" fontId="3" fillId="0" borderId="221" xfId="72" applyNumberFormat="1" applyFont="1" applyBorder="1" applyAlignment="1">
      <alignment horizontal="center" wrapText="1"/>
    </xf>
    <xf numFmtId="4" fontId="0" fillId="0" borderId="184" xfId="0" applyNumberFormat="1" applyBorder="1" applyAlignment="1">
      <alignment horizontal="center"/>
    </xf>
    <xf numFmtId="0" fontId="0" fillId="0" borderId="190" xfId="0" applyBorder="1" applyAlignment="1">
      <alignment horizontal="center"/>
    </xf>
    <xf numFmtId="0" fontId="7" fillId="0" borderId="117" xfId="71" applyBorder="1" applyAlignment="1">
      <alignment vertical="center"/>
    </xf>
    <xf numFmtId="0" fontId="7" fillId="0" borderId="181" xfId="71" applyBorder="1" applyAlignment="1">
      <alignment vertical="center"/>
    </xf>
    <xf numFmtId="0" fontId="7" fillId="0" borderId="0" xfId="71" applyAlignment="1">
      <alignment vertical="center"/>
    </xf>
    <xf numFmtId="0" fontId="21" fillId="0" borderId="0" xfId="0" applyFont="1"/>
    <xf numFmtId="43" fontId="11" fillId="0" borderId="0" xfId="7" applyFont="1" applyAlignment="1"/>
    <xf numFmtId="4" fontId="3" fillId="0" borderId="209" xfId="68" applyNumberFormat="1" applyFont="1" applyBorder="1" applyAlignment="1">
      <alignment horizontal="center" wrapText="1"/>
    </xf>
    <xf numFmtId="4" fontId="3" fillId="0" borderId="208" xfId="68" applyNumberFormat="1" applyFont="1" applyBorder="1" applyAlignment="1">
      <alignment horizontal="center" wrapText="1"/>
    </xf>
    <xf numFmtId="4" fontId="3" fillId="0" borderId="220" xfId="68" applyNumberFormat="1" applyFont="1" applyBorder="1" applyAlignment="1">
      <alignment horizontal="center" wrapText="1"/>
    </xf>
    <xf numFmtId="4" fontId="3" fillId="0" borderId="213" xfId="68" applyNumberFormat="1" applyFont="1" applyBorder="1" applyAlignment="1">
      <alignment horizontal="center" wrapText="1"/>
    </xf>
    <xf numFmtId="167" fontId="11" fillId="0" borderId="0" xfId="71" applyNumberFormat="1" applyFont="1" applyAlignment="1"/>
    <xf numFmtId="4" fontId="3" fillId="0" borderId="220" xfId="70" applyNumberFormat="1" applyFont="1" applyBorder="1" applyAlignment="1">
      <alignment horizontal="center" wrapText="1"/>
    </xf>
    <xf numFmtId="4" fontId="3" fillId="0" borderId="213" xfId="70" applyNumberFormat="1" applyFont="1" applyBorder="1" applyAlignment="1">
      <alignment horizontal="center" wrapText="1"/>
    </xf>
    <xf numFmtId="4" fontId="11" fillId="0" borderId="0" xfId="71" applyNumberFormat="1" applyFont="1" applyAlignment="1"/>
    <xf numFmtId="0" fontId="48" fillId="0" borderId="0" xfId="71" applyFont="1" applyAlignment="1"/>
    <xf numFmtId="4" fontId="3" fillId="0" borderId="221" xfId="68" applyNumberFormat="1" applyFont="1" applyBorder="1" applyAlignment="1">
      <alignment horizontal="center" wrapText="1"/>
    </xf>
    <xf numFmtId="4" fontId="3" fillId="0" borderId="184" xfId="68" applyNumberFormat="1" applyFont="1" applyBorder="1" applyAlignment="1">
      <alignment horizontal="center" wrapText="1"/>
    </xf>
    <xf numFmtId="0" fontId="11" fillId="0" borderId="0" xfId="71" applyFont="1" applyAlignment="1">
      <alignment vertical="center"/>
    </xf>
    <xf numFmtId="0" fontId="10" fillId="0" borderId="0" xfId="71" applyFont="1" applyAlignment="1"/>
    <xf numFmtId="3" fontId="7" fillId="0" borderId="222" xfId="71" applyNumberFormat="1" applyBorder="1" applyAlignment="1">
      <alignment horizontal="center" vertical="center"/>
    </xf>
    <xf numFmtId="4" fontId="7" fillId="0" borderId="223" xfId="71" applyNumberFormat="1" applyBorder="1" applyAlignment="1">
      <alignment horizontal="center" vertical="center"/>
    </xf>
    <xf numFmtId="2" fontId="10" fillId="0" borderId="100" xfId="71" applyNumberFormat="1" applyFont="1" applyBorder="1" applyAlignment="1">
      <alignment horizontal="center" vertical="center"/>
    </xf>
    <xf numFmtId="0" fontId="10" fillId="0" borderId="224" xfId="71" applyFont="1" applyBorder="1" applyAlignment="1"/>
    <xf numFmtId="0" fontId="10" fillId="0" borderId="225" xfId="71" applyFont="1" applyBorder="1" applyAlignment="1"/>
    <xf numFmtId="4" fontId="10" fillId="0" borderId="100" xfId="71" applyNumberFormat="1" applyFont="1" applyBorder="1" applyAlignment="1">
      <alignment horizontal="center" vertical="center"/>
    </xf>
    <xf numFmtId="3" fontId="10" fillId="0" borderId="100" xfId="71" applyNumberFormat="1" applyFont="1" applyBorder="1" applyAlignment="1">
      <alignment horizontal="center" vertical="center"/>
    </xf>
    <xf numFmtId="0" fontId="10" fillId="0" borderId="100" xfId="71" applyFont="1" applyBorder="1" applyAlignment="1"/>
    <xf numFmtId="0" fontId="10" fillId="0" borderId="99" xfId="71" applyFont="1" applyBorder="1" applyAlignment="1"/>
    <xf numFmtId="0" fontId="8" fillId="0" borderId="0" xfId="71" applyFont="1" applyAlignment="1"/>
    <xf numFmtId="0" fontId="10" fillId="0" borderId="0" xfId="71" applyFont="1" applyAlignment="1">
      <alignment horizontal="center"/>
    </xf>
    <xf numFmtId="0" fontId="12" fillId="2" borderId="206" xfId="9" applyFill="1" applyBorder="1" applyAlignment="1">
      <alignment horizontal="center" vertical="center"/>
    </xf>
    <xf numFmtId="3" fontId="11" fillId="2" borderId="206" xfId="9" applyNumberFormat="1" applyFont="1" applyFill="1" applyBorder="1" applyAlignment="1">
      <alignment horizontal="center" vertical="center"/>
    </xf>
    <xf numFmtId="0" fontId="0" fillId="2" borderId="206" xfId="0" applyFill="1" applyBorder="1" applyAlignment="1">
      <alignment horizontal="center"/>
    </xf>
    <xf numFmtId="0" fontId="0" fillId="2" borderId="191" xfId="0" applyFill="1" applyBorder="1" applyAlignment="1">
      <alignment horizontal="center"/>
    </xf>
    <xf numFmtId="4" fontId="0" fillId="2" borderId="213" xfId="0" applyNumberFormat="1" applyFill="1" applyBorder="1" applyAlignment="1">
      <alignment horizontal="center"/>
    </xf>
    <xf numFmtId="4" fontId="3" fillId="2" borderId="220" xfId="72" applyNumberFormat="1" applyFont="1" applyFill="1" applyBorder="1" applyAlignment="1">
      <alignment horizontal="center" wrapText="1"/>
    </xf>
    <xf numFmtId="4" fontId="3" fillId="2" borderId="213" xfId="68" applyNumberFormat="1" applyFont="1" applyFill="1" applyBorder="1" applyAlignment="1">
      <alignment horizontal="center" wrapText="1"/>
    </xf>
    <xf numFmtId="4" fontId="3" fillId="2" borderId="220" xfId="68" applyNumberFormat="1" applyFont="1" applyFill="1" applyBorder="1" applyAlignment="1">
      <alignment horizontal="center" wrapText="1"/>
    </xf>
    <xf numFmtId="0" fontId="12" fillId="0" borderId="206" xfId="9" applyBorder="1" applyAlignment="1">
      <alignment horizontal="center" vertical="center"/>
    </xf>
    <xf numFmtId="0" fontId="0" fillId="0" borderId="206" xfId="0" applyBorder="1" applyAlignment="1">
      <alignment horizontal="center"/>
    </xf>
    <xf numFmtId="3" fontId="12" fillId="0" borderId="206" xfId="9" applyNumberFormat="1" applyBorder="1" applyAlignment="1">
      <alignment horizontal="center" vertical="center"/>
    </xf>
    <xf numFmtId="3" fontId="11" fillId="0" borderId="206" xfId="9" applyNumberFormat="1" applyFont="1" applyBorder="1" applyAlignment="1">
      <alignment horizontal="center" vertical="center"/>
    </xf>
    <xf numFmtId="0" fontId="11" fillId="0" borderId="206" xfId="9" applyFont="1" applyBorder="1" applyAlignment="1">
      <alignment horizontal="center" vertical="center"/>
    </xf>
    <xf numFmtId="4" fontId="16" fillId="0" borderId="206" xfId="9" applyNumberFormat="1" applyFont="1" applyBorder="1" applyAlignment="1">
      <alignment horizontal="center" vertical="center"/>
    </xf>
    <xf numFmtId="0" fontId="9" fillId="0" borderId="0" xfId="15" applyFont="1" applyAlignment="1">
      <alignment horizontal="center"/>
    </xf>
    <xf numFmtId="0" fontId="8" fillId="0" borderId="16" xfId="15" applyFont="1" applyBorder="1" applyAlignment="1">
      <alignment horizontal="center" vertical="center"/>
    </xf>
    <xf numFmtId="0" fontId="8" fillId="0" borderId="71" xfId="15" applyFont="1" applyBorder="1" applyAlignment="1">
      <alignment horizontal="center" vertical="center"/>
    </xf>
    <xf numFmtId="0" fontId="8" fillId="0" borderId="18" xfId="15" applyFont="1" applyBorder="1" applyAlignment="1">
      <alignment horizontal="center" vertical="center"/>
    </xf>
    <xf numFmtId="0" fontId="8" fillId="0" borderId="72" xfId="15" applyFont="1" applyBorder="1" applyAlignment="1">
      <alignment horizontal="center" vertical="center"/>
    </xf>
    <xf numFmtId="0" fontId="7" fillId="0" borderId="0" xfId="15" applyFont="1" applyAlignment="1">
      <alignment horizontal="center"/>
    </xf>
    <xf numFmtId="0" fontId="12" fillId="0" borderId="0" xfId="15" applyAlignment="1">
      <alignment horizontal="center"/>
    </xf>
    <xf numFmtId="0" fontId="11" fillId="0" borderId="0" xfId="15" applyFont="1" applyAlignment="1">
      <alignment horizontal="center"/>
    </xf>
    <xf numFmtId="0" fontId="10" fillId="0" borderId="61" xfId="9" applyFont="1" applyBorder="1" applyAlignment="1">
      <alignment horizontal="center" vertical="center"/>
    </xf>
    <xf numFmtId="0" fontId="10" fillId="0" borderId="111" xfId="15" applyFont="1" applyBorder="1" applyAlignment="1">
      <alignment horizontal="center"/>
    </xf>
    <xf numFmtId="0" fontId="10" fillId="0" borderId="20" xfId="15" applyFont="1" applyBorder="1" applyAlignment="1">
      <alignment horizontal="center"/>
    </xf>
    <xf numFmtId="0" fontId="10" fillId="0" borderId="71" xfId="15" applyFont="1" applyBorder="1" applyAlignment="1">
      <alignment horizontal="center"/>
    </xf>
    <xf numFmtId="0" fontId="24" fillId="3" borderId="29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4" fillId="3" borderId="30" xfId="0" applyFont="1" applyFill="1" applyBorder="1" applyAlignment="1">
      <alignment horizontal="center"/>
    </xf>
    <xf numFmtId="0" fontId="24" fillId="3" borderId="81" xfId="0" applyFont="1" applyFill="1" applyBorder="1" applyAlignment="1">
      <alignment horizontal="center"/>
    </xf>
    <xf numFmtId="0" fontId="24" fillId="3" borderId="22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84" xfId="0" applyFont="1" applyFill="1" applyBorder="1" applyAlignment="1">
      <alignment horizontal="center"/>
    </xf>
    <xf numFmtId="0" fontId="24" fillId="3" borderId="182" xfId="0" applyFont="1" applyFill="1" applyBorder="1" applyAlignment="1">
      <alignment horizontal="center" vertical="center"/>
    </xf>
    <xf numFmtId="0" fontId="24" fillId="3" borderId="18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7" xfId="9" applyBorder="1" applyAlignment="1">
      <alignment horizontal="center" vertical="center"/>
    </xf>
    <xf numFmtId="0" fontId="12" fillId="0" borderId="4" xfId="9" applyBorder="1" applyAlignment="1">
      <alignment horizontal="center" vertical="center"/>
    </xf>
    <xf numFmtId="0" fontId="12" fillId="0" borderId="15" xfId="9" applyBorder="1" applyAlignment="1">
      <alignment horizontal="center" vertical="center"/>
    </xf>
    <xf numFmtId="0" fontId="12" fillId="0" borderId="0" xfId="9" applyAlignment="1">
      <alignment horizontal="center" vertical="center"/>
    </xf>
    <xf numFmtId="0" fontId="11" fillId="0" borderId="0" xfId="9" applyFont="1" applyAlignment="1">
      <alignment horizontal="center"/>
    </xf>
    <xf numFmtId="0" fontId="12" fillId="0" borderId="0" xfId="9" applyAlignment="1">
      <alignment horizontal="center"/>
    </xf>
    <xf numFmtId="0" fontId="11" fillId="0" borderId="0" xfId="9" applyFont="1" applyAlignment="1">
      <alignment horizontal="center" vertical="center"/>
    </xf>
    <xf numFmtId="49" fontId="11" fillId="0" borderId="24" xfId="9" applyNumberFormat="1" applyFont="1" applyBorder="1" applyAlignment="1">
      <alignment horizontal="center" vertical="center"/>
    </xf>
    <xf numFmtId="49" fontId="11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10" fillId="0" borderId="73" xfId="9" applyFont="1" applyBorder="1" applyAlignment="1">
      <alignment horizontal="center"/>
    </xf>
    <xf numFmtId="0" fontId="10" fillId="0" borderId="62" xfId="9" applyFont="1" applyBorder="1" applyAlignment="1">
      <alignment horizontal="center"/>
    </xf>
    <xf numFmtId="0" fontId="8" fillId="0" borderId="16" xfId="9" applyFont="1" applyBorder="1" applyAlignment="1">
      <alignment horizontal="center" vertical="center"/>
    </xf>
    <xf numFmtId="0" fontId="8" fillId="0" borderId="71" xfId="9" applyFont="1" applyBorder="1" applyAlignment="1">
      <alignment horizontal="center" vertical="center"/>
    </xf>
    <xf numFmtId="0" fontId="8" fillId="0" borderId="98" xfId="9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10" fillId="0" borderId="6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10" fillId="0" borderId="61" xfId="9" applyFont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12" fillId="0" borderId="70" xfId="9" applyBorder="1" applyAlignment="1">
      <alignment horizontal="center" vertical="center"/>
    </xf>
    <xf numFmtId="0" fontId="12" fillId="0" borderId="69" xfId="9" applyBorder="1" applyAlignment="1">
      <alignment horizontal="center" vertical="center"/>
    </xf>
    <xf numFmtId="0" fontId="10" fillId="0" borderId="61" xfId="8" applyFont="1" applyBorder="1" applyAlignment="1">
      <alignment horizontal="center"/>
    </xf>
    <xf numFmtId="0" fontId="10" fillId="0" borderId="20" xfId="8" applyFont="1" applyBorder="1" applyAlignment="1">
      <alignment horizontal="center"/>
    </xf>
    <xf numFmtId="0" fontId="10" fillId="0" borderId="71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0" fontId="7" fillId="0" borderId="71" xfId="8" applyBorder="1" applyAlignment="1">
      <alignment horizontal="center" vertical="center"/>
    </xf>
    <xf numFmtId="0" fontId="7" fillId="0" borderId="18" xfId="8" applyBorder="1" applyAlignment="1">
      <alignment horizontal="center" vertical="center"/>
    </xf>
    <xf numFmtId="0" fontId="7" fillId="0" borderId="72" xfId="8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7" fillId="0" borderId="0" xfId="8" applyAlignment="1">
      <alignment horizontal="center"/>
    </xf>
    <xf numFmtId="0" fontId="11" fillId="0" borderId="0" xfId="8" applyFont="1" applyAlignment="1">
      <alignment horizontal="center"/>
    </xf>
    <xf numFmtId="0" fontId="24" fillId="3" borderId="0" xfId="0" applyFont="1" applyFill="1" applyAlignment="1">
      <alignment horizontal="center"/>
    </xf>
    <xf numFmtId="0" fontId="24" fillId="3" borderId="41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31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7" fillId="0" borderId="7" xfId="8" applyBorder="1" applyAlignment="1">
      <alignment horizontal="center" vertical="center"/>
    </xf>
    <xf numFmtId="0" fontId="7" fillId="0" borderId="4" xfId="8" applyBorder="1" applyAlignment="1">
      <alignment horizontal="center" vertical="center"/>
    </xf>
    <xf numFmtId="0" fontId="7" fillId="0" borderId="15" xfId="8" applyBorder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9" xfId="9" applyFont="1" applyBorder="1" applyAlignment="1">
      <alignment horizontal="center"/>
    </xf>
    <xf numFmtId="0" fontId="12" fillId="0" borderId="9" xfId="9" applyBorder="1" applyAlignment="1">
      <alignment horizontal="center"/>
    </xf>
    <xf numFmtId="0" fontId="11" fillId="0" borderId="0" xfId="8" applyFont="1" applyAlignment="1">
      <alignment horizontal="left"/>
    </xf>
    <xf numFmtId="0" fontId="7" fillId="0" borderId="29" xfId="8" applyBorder="1" applyAlignment="1">
      <alignment horizontal="center" vertical="center"/>
    </xf>
    <xf numFmtId="0" fontId="7" fillId="0" borderId="8" xfId="8" applyBorder="1" applyAlignment="1">
      <alignment horizontal="center" vertical="center"/>
    </xf>
    <xf numFmtId="0" fontId="7" fillId="0" borderId="30" xfId="8" applyBorder="1" applyAlignment="1">
      <alignment horizontal="center" vertical="center"/>
    </xf>
    <xf numFmtId="0" fontId="8" fillId="0" borderId="17" xfId="9" applyFont="1" applyBorder="1" applyAlignment="1">
      <alignment horizontal="center" vertical="center"/>
    </xf>
    <xf numFmtId="0" fontId="8" fillId="0" borderId="18" xfId="9" applyFont="1" applyBorder="1" applyAlignment="1">
      <alignment horizontal="center" vertical="center"/>
    </xf>
    <xf numFmtId="0" fontId="8" fillId="0" borderId="19" xfId="9" applyFont="1" applyBorder="1" applyAlignment="1">
      <alignment horizontal="center" vertical="center"/>
    </xf>
    <xf numFmtId="0" fontId="11" fillId="0" borderId="13" xfId="9" applyFont="1" applyBorder="1" applyAlignment="1">
      <alignment horizontal="center" wrapText="1"/>
    </xf>
    <xf numFmtId="0" fontId="11" fillId="0" borderId="14" xfId="9" applyFont="1" applyBorder="1" applyAlignment="1">
      <alignment horizontal="center"/>
    </xf>
    <xf numFmtId="0" fontId="10" fillId="0" borderId="20" xfId="9" applyFont="1" applyBorder="1" applyAlignment="1">
      <alignment horizontal="center" vertical="center"/>
    </xf>
    <xf numFmtId="0" fontId="10" fillId="0" borderId="17" xfId="9" applyFont="1" applyBorder="1" applyAlignment="1">
      <alignment horizontal="center" vertical="center"/>
    </xf>
    <xf numFmtId="0" fontId="24" fillId="3" borderId="24" xfId="0" applyFont="1" applyFill="1" applyBorder="1" applyAlignment="1">
      <alignment horizontal="center"/>
    </xf>
    <xf numFmtId="0" fontId="24" fillId="3" borderId="86" xfId="0" applyFont="1" applyFill="1" applyBorder="1" applyAlignment="1">
      <alignment horizontal="center"/>
    </xf>
    <xf numFmtId="0" fontId="24" fillId="3" borderId="85" xfId="0" applyFont="1" applyFill="1" applyBorder="1" applyAlignment="1">
      <alignment horizontal="center"/>
    </xf>
    <xf numFmtId="0" fontId="24" fillId="3" borderId="80" xfId="0" applyFont="1" applyFill="1" applyBorder="1" applyAlignment="1">
      <alignment horizontal="center"/>
    </xf>
    <xf numFmtId="0" fontId="7" fillId="0" borderId="41" xfId="9" applyFont="1" applyBorder="1" applyAlignment="1">
      <alignment horizontal="center"/>
    </xf>
    <xf numFmtId="0" fontId="12" fillId="0" borderId="42" xfId="9" applyBorder="1" applyAlignment="1">
      <alignment horizontal="center"/>
    </xf>
    <xf numFmtId="0" fontId="12" fillId="0" borderId="43" xfId="9" applyBorder="1" applyAlignment="1">
      <alignment horizontal="center"/>
    </xf>
    <xf numFmtId="0" fontId="12" fillId="0" borderId="7" xfId="9" applyBorder="1" applyAlignment="1">
      <alignment horizontal="center"/>
    </xf>
    <xf numFmtId="0" fontId="12" fillId="0" borderId="4" xfId="9" applyBorder="1" applyAlignment="1">
      <alignment horizontal="center"/>
    </xf>
    <xf numFmtId="0" fontId="12" fillId="0" borderId="15" xfId="9" applyBorder="1" applyAlignment="1">
      <alignment horizontal="center"/>
    </xf>
    <xf numFmtId="0" fontId="10" fillId="0" borderId="123" xfId="9" applyFont="1" applyBorder="1" applyAlignment="1">
      <alignment horizontal="center" vertical="center"/>
    </xf>
    <xf numFmtId="0" fontId="10" fillId="0" borderId="122" xfId="9" applyFont="1" applyBorder="1" applyAlignment="1">
      <alignment horizontal="center" vertical="center"/>
    </xf>
    <xf numFmtId="0" fontId="10" fillId="0" borderId="92" xfId="9" applyFont="1" applyBorder="1" applyAlignment="1">
      <alignment horizontal="center" vertical="center"/>
    </xf>
    <xf numFmtId="0" fontId="10" fillId="0" borderId="88" xfId="9" applyFont="1" applyBorder="1" applyAlignment="1">
      <alignment horizontal="center" vertical="center"/>
    </xf>
    <xf numFmtId="0" fontId="8" fillId="0" borderId="21" xfId="9" applyFont="1" applyBorder="1" applyAlignment="1">
      <alignment horizontal="center" vertical="center"/>
    </xf>
    <xf numFmtId="0" fontId="8" fillId="0" borderId="89" xfId="9" applyFont="1" applyBorder="1" applyAlignment="1">
      <alignment horizontal="center" vertical="center"/>
    </xf>
    <xf numFmtId="0" fontId="8" fillId="0" borderId="90" xfId="9" applyFont="1" applyBorder="1" applyAlignment="1">
      <alignment horizontal="center" vertical="center"/>
    </xf>
    <xf numFmtId="0" fontId="8" fillId="0" borderId="72" xfId="9" applyFont="1" applyBorder="1" applyAlignment="1">
      <alignment horizontal="center" vertical="center"/>
    </xf>
    <xf numFmtId="0" fontId="10" fillId="0" borderId="124" xfId="9" applyFont="1" applyBorder="1" applyAlignment="1">
      <alignment horizontal="center" vertical="center"/>
    </xf>
    <xf numFmtId="0" fontId="10" fillId="0" borderId="125" xfId="9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84" xfId="0" applyFont="1" applyFill="1" applyBorder="1" applyAlignment="1">
      <alignment horizontal="center"/>
    </xf>
    <xf numFmtId="0" fontId="1" fillId="3" borderId="185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205" xfId="0" applyFont="1" applyFill="1" applyBorder="1" applyAlignment="1">
      <alignment horizontal="center"/>
    </xf>
    <xf numFmtId="16" fontId="1" fillId="3" borderId="149" xfId="0" applyNumberFormat="1" applyFont="1" applyFill="1" applyBorder="1" applyAlignment="1">
      <alignment horizontal="center" vertical="center"/>
    </xf>
    <xf numFmtId="16" fontId="1" fillId="3" borderId="48" xfId="0" applyNumberFormat="1" applyFont="1" applyFill="1" applyBorder="1" applyAlignment="1">
      <alignment horizontal="center" vertical="center"/>
    </xf>
    <xf numFmtId="0" fontId="11" fillId="0" borderId="0" xfId="71" applyFont="1" applyAlignment="1">
      <alignment horizontal="center" vertical="center"/>
    </xf>
    <xf numFmtId="0" fontId="7" fillId="0" borderId="15" xfId="71" applyBorder="1" applyAlignment="1">
      <alignment horizontal="center"/>
    </xf>
    <xf numFmtId="0" fontId="7" fillId="0" borderId="0" xfId="71" applyAlignment="1">
      <alignment horizontal="center"/>
    </xf>
    <xf numFmtId="0" fontId="7" fillId="0" borderId="0" xfId="71" applyAlignment="1">
      <alignment horizontal="left" vertical="center"/>
    </xf>
    <xf numFmtId="0" fontId="7" fillId="0" borderId="29" xfId="71" applyBorder="1" applyAlignment="1">
      <alignment horizontal="center"/>
    </xf>
    <xf numFmtId="0" fontId="7" fillId="0" borderId="30" xfId="71" applyBorder="1" applyAlignment="1">
      <alignment horizontal="center"/>
    </xf>
    <xf numFmtId="0" fontId="11" fillId="0" borderId="61" xfId="9" applyFont="1" applyBorder="1" applyAlignment="1">
      <alignment horizontal="center" vertical="center" wrapText="1"/>
    </xf>
    <xf numFmtId="0" fontId="11" fillId="0" borderId="61" xfId="9" applyFont="1" applyBorder="1" applyAlignment="1">
      <alignment horizontal="center" vertical="center"/>
    </xf>
    <xf numFmtId="4" fontId="0" fillId="0" borderId="119" xfId="0" applyNumberFormat="1" applyBorder="1" applyAlignment="1">
      <alignment horizontal="center"/>
    </xf>
    <xf numFmtId="0" fontId="0" fillId="0" borderId="119" xfId="0" applyBorder="1" applyAlignment="1">
      <alignment horizontal="center"/>
    </xf>
    <xf numFmtId="0" fontId="11" fillId="0" borderId="116" xfId="9" applyFont="1" applyBorder="1" applyAlignment="1">
      <alignment horizontal="center" vertical="center" wrapText="1"/>
    </xf>
    <xf numFmtId="0" fontId="11" fillId="0" borderId="113" xfId="9" applyFont="1" applyBorder="1" applyAlignment="1">
      <alignment horizontal="center" vertical="center" wrapText="1"/>
    </xf>
    <xf numFmtId="0" fontId="11" fillId="0" borderId="117" xfId="9" applyFont="1" applyBorder="1" applyAlignment="1">
      <alignment horizontal="center" vertical="center" wrapText="1"/>
    </xf>
    <xf numFmtId="0" fontId="11" fillId="0" borderId="15" xfId="9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1" fillId="0" borderId="7" xfId="9" applyFont="1" applyBorder="1" applyAlignment="1">
      <alignment horizontal="center" vertical="center" wrapText="1"/>
    </xf>
    <xf numFmtId="0" fontId="11" fillId="0" borderId="4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10" fillId="0" borderId="213" xfId="71" applyFont="1" applyBorder="1" applyAlignment="1">
      <alignment horizontal="left" vertical="center"/>
    </xf>
    <xf numFmtId="0" fontId="9" fillId="0" borderId="0" xfId="71" applyFont="1" applyAlignment="1">
      <alignment horizontal="center"/>
    </xf>
    <xf numFmtId="0" fontId="10" fillId="0" borderId="0" xfId="71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16" xfId="71" applyFont="1" applyBorder="1" applyAlignment="1">
      <alignment horizontal="center" vertical="center"/>
    </xf>
    <xf numFmtId="0" fontId="8" fillId="0" borderId="63" xfId="71" applyFont="1" applyBorder="1" applyAlignment="1">
      <alignment horizontal="center" vertical="center"/>
    </xf>
    <xf numFmtId="0" fontId="8" fillId="0" borderId="18" xfId="71" applyFont="1" applyBorder="1" applyAlignment="1">
      <alignment horizontal="center" vertical="center"/>
    </xf>
    <xf numFmtId="0" fontId="8" fillId="0" borderId="64" xfId="71" applyFont="1" applyBorder="1" applyAlignment="1">
      <alignment horizontal="center" vertical="center"/>
    </xf>
    <xf numFmtId="0" fontId="8" fillId="0" borderId="101" xfId="71" applyFont="1" applyBorder="1" applyAlignment="1">
      <alignment horizontal="center" vertical="center" wrapText="1"/>
    </xf>
    <xf numFmtId="0" fontId="8" fillId="0" borderId="102" xfId="71" applyFont="1" applyBorder="1" applyAlignment="1">
      <alignment horizontal="center" vertical="center" wrapText="1"/>
    </xf>
    <xf numFmtId="0" fontId="8" fillId="0" borderId="102" xfId="71" applyFont="1" applyBorder="1" applyAlignment="1">
      <alignment horizontal="center" vertical="center"/>
    </xf>
    <xf numFmtId="0" fontId="7" fillId="0" borderId="29" xfId="9" applyFont="1" applyBorder="1" applyAlignment="1">
      <alignment horizontal="center"/>
    </xf>
    <xf numFmtId="0" fontId="12" fillId="0" borderId="30" xfId="9" applyBorder="1" applyAlignment="1">
      <alignment horizontal="center"/>
    </xf>
    <xf numFmtId="0" fontId="10" fillId="0" borderId="103" xfId="9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0" fillId="0" borderId="111" xfId="8" applyFont="1" applyBorder="1" applyAlignment="1">
      <alignment horizontal="center" vertical="center"/>
    </xf>
    <xf numFmtId="0" fontId="10" fillId="0" borderId="103" xfId="8" applyFont="1" applyBorder="1" applyAlignment="1">
      <alignment horizontal="center" vertical="center"/>
    </xf>
    <xf numFmtId="0" fontId="10" fillId="0" borderId="88" xfId="8" applyFont="1" applyBorder="1" applyAlignment="1">
      <alignment horizontal="center" vertical="center"/>
    </xf>
    <xf numFmtId="0" fontId="7" fillId="0" borderId="15" xfId="8" applyBorder="1" applyAlignment="1">
      <alignment horizontal="center"/>
    </xf>
    <xf numFmtId="0" fontId="7" fillId="0" borderId="7" xfId="8" applyBorder="1" applyAlignment="1">
      <alignment horizontal="center"/>
    </xf>
    <xf numFmtId="0" fontId="7" fillId="0" borderId="4" xfId="8" applyBorder="1" applyAlignment="1">
      <alignment horizontal="center"/>
    </xf>
    <xf numFmtId="0" fontId="11" fillId="0" borderId="21" xfId="8" applyFont="1" applyBorder="1" applyAlignment="1">
      <alignment horizontal="center"/>
    </xf>
    <xf numFmtId="0" fontId="11" fillId="0" borderId="22" xfId="8" applyFont="1" applyBorder="1" applyAlignment="1">
      <alignment horizontal="center"/>
    </xf>
    <xf numFmtId="0" fontId="11" fillId="0" borderId="23" xfId="8" applyFont="1" applyBorder="1" applyAlignment="1">
      <alignment horizontal="center"/>
    </xf>
    <xf numFmtId="0" fontId="11" fillId="0" borderId="26" xfId="8" applyFont="1" applyBorder="1" applyAlignment="1">
      <alignment horizontal="center"/>
    </xf>
    <xf numFmtId="0" fontId="11" fillId="0" borderId="27" xfId="8" applyFont="1" applyBorder="1" applyAlignment="1">
      <alignment horizontal="center"/>
    </xf>
    <xf numFmtId="0" fontId="11" fillId="0" borderId="28" xfId="8" applyFont="1" applyBorder="1" applyAlignment="1">
      <alignment horizontal="center"/>
    </xf>
    <xf numFmtId="0" fontId="10" fillId="0" borderId="111" xfId="8" applyFont="1" applyBorder="1" applyAlignment="1">
      <alignment horizontal="center"/>
    </xf>
    <xf numFmtId="0" fontId="10" fillId="0" borderId="103" xfId="8" applyFont="1" applyBorder="1" applyAlignment="1">
      <alignment horizontal="center"/>
    </xf>
    <xf numFmtId="0" fontId="10" fillId="0" borderId="88" xfId="8" applyFont="1" applyBorder="1" applyAlignment="1">
      <alignment horizontal="center"/>
    </xf>
    <xf numFmtId="0" fontId="10" fillId="0" borderId="111" xfId="15" applyFont="1" applyBorder="1" applyAlignment="1">
      <alignment horizontal="center" vertical="center"/>
    </xf>
    <xf numFmtId="0" fontId="11" fillId="0" borderId="0" xfId="15" applyFont="1" applyAlignment="1">
      <alignment horizontal="left"/>
    </xf>
  </cellXfs>
  <cellStyles count="73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2" builtinId="27" customBuiltin="1"/>
    <cellStyle name="Calculation" xfId="36" builtinId="22" customBuiltin="1"/>
    <cellStyle name="Check Cell" xfId="38" builtinId="23" customBuiltin="1"/>
    <cellStyle name="Comma" xfId="7" builtinId="3"/>
    <cellStyle name="Comma 2" xfId="10" xr:uid="{00000000-0005-0000-0000-00001C000000}"/>
    <cellStyle name="Explanatory Text" xfId="41" builtinId="53" customBuiltin="1"/>
    <cellStyle name="Good" xfId="31" builtinId="26" customBuiltin="1"/>
    <cellStyle name="Heading 1" xfId="27" builtinId="16" customBuiltin="1"/>
    <cellStyle name="Heading 2" xfId="28" builtinId="17" customBuiltin="1"/>
    <cellStyle name="Heading 3" xfId="29" builtinId="18" customBuiltin="1"/>
    <cellStyle name="Heading 4" xfId="30" builtinId="19" customBuiltin="1"/>
    <cellStyle name="Input" xfId="34" builtinId="20" customBuiltin="1"/>
    <cellStyle name="Linked Cell" xfId="37" builtinId="24" customBuiltin="1"/>
    <cellStyle name="Neutral" xfId="33" builtinId="28" customBuiltin="1"/>
    <cellStyle name="Normal" xfId="0" builtinId="0"/>
    <cellStyle name="Normal 2" xfId="8" xr:uid="{00000000-0005-0000-0000-000027000000}"/>
    <cellStyle name="Normal 2 2" xfId="14" xr:uid="{00000000-0005-0000-0000-000028000000}"/>
    <cellStyle name="Normal 2 3" xfId="15" xr:uid="{00000000-0005-0000-0000-000029000000}"/>
    <cellStyle name="Normal 3" xfId="9" xr:uid="{00000000-0005-0000-0000-00002A000000}"/>
    <cellStyle name="Normal 3 2" xfId="71" xr:uid="{514F0947-7B6D-4BCB-BAD2-DA67F7F42020}"/>
    <cellStyle name="Normal_AG" xfId="16" xr:uid="{00000000-0005-0000-0000-00002B000000}"/>
    <cellStyle name="Normal_AG_1" xfId="23" xr:uid="{00000000-0005-0000-0000-00002C000000}"/>
    <cellStyle name="Normal_AG_1 2 2" xfId="20" xr:uid="{00000000-0005-0000-0000-00002D000000}"/>
    <cellStyle name="Normal_Aguirre" xfId="3" xr:uid="{00000000-0005-0000-0000-00002E000000}"/>
    <cellStyle name="Normal_Aguirre_2" xfId="2" xr:uid="{00000000-0005-0000-0000-00002F000000}"/>
    <cellStyle name="Normal_Cambalache" xfId="6" xr:uid="{00000000-0005-0000-0000-000030000000}"/>
    <cellStyle name="Normal_Consumo" xfId="25" xr:uid="{00000000-0005-0000-0000-000032000000}"/>
    <cellStyle name="Normal_Consumo 2" xfId="26" xr:uid="{00000000-0005-0000-0000-000033000000}"/>
    <cellStyle name="Normal_Consumo 3" xfId="69" xr:uid="{00000000-0005-0000-0000-000034000000}"/>
    <cellStyle name="Normal_Costa Sur" xfId="1" xr:uid="{00000000-0005-0000-0000-000035000000}"/>
    <cellStyle name="Normal_Horas_Operacion 2" xfId="72" xr:uid="{1EE57839-4770-4E36-B303-CF13BDD43859}"/>
    <cellStyle name="Normal_Hosa Servicio" xfId="68" xr:uid="{00000000-0005-0000-0000-000037000000}"/>
    <cellStyle name="Normal_JOBOS_1 2" xfId="24" xr:uid="{00000000-0005-0000-0000-000039000000}"/>
    <cellStyle name="Normal_Palo Seco" xfId="5" xr:uid="{00000000-0005-0000-0000-00003A000000}"/>
    <cellStyle name="Normal_PS" xfId="18" xr:uid="{00000000-0005-0000-0000-00003B000000}"/>
    <cellStyle name="Normal_PS_1" xfId="19" xr:uid="{00000000-0005-0000-0000-00003C000000}"/>
    <cellStyle name="Normal_Sheet1" xfId="12" xr:uid="{00000000-0005-0000-0000-00003D000000}"/>
    <cellStyle name="Normal_Sheet1 2" xfId="21" xr:uid="{00000000-0005-0000-0000-00003E000000}"/>
    <cellStyle name="Normal_Sheet1_1" xfId="17" xr:uid="{00000000-0005-0000-0000-00003F000000}"/>
    <cellStyle name="Normal_Sheet2" xfId="13" xr:uid="{00000000-0005-0000-0000-000040000000}"/>
    <cellStyle name="Normal_Sheet3" xfId="70" xr:uid="{0C939C31-2AB9-4D59-84CA-5AE809C54B9D}"/>
    <cellStyle name="Normal_SJ_1 2" xfId="22" xr:uid="{00000000-0005-0000-0000-000041000000}"/>
    <cellStyle name="Normal_Turbinas Hidrogas" xfId="4" xr:uid="{00000000-0005-0000-0000-000042000000}"/>
    <cellStyle name="Note" xfId="40" builtinId="10" customBuiltin="1"/>
    <cellStyle name="Output" xfId="35" builtinId="21" customBuiltin="1"/>
    <cellStyle name="Percent 2" xfId="11" xr:uid="{00000000-0005-0000-0000-000045000000}"/>
    <cellStyle name="Title 2" xfId="67" xr:uid="{00000000-0005-0000-0000-000046000000}"/>
    <cellStyle name="Total" xfId="42" builtinId="25" customBuiltin="1"/>
    <cellStyle name="Warning Text" xfId="3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474134</xdr:colOff>
      <xdr:row>20</xdr:row>
      <xdr:rowOff>63499</xdr:rowOff>
    </xdr:from>
    <xdr:to>
      <xdr:col>5</xdr:col>
      <xdr:colOff>112184</xdr:colOff>
      <xdr:row>22</xdr:row>
      <xdr:rowOff>44449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7F8D1C-8461-4D20-966B-3A88E287AFAC}"/>
            </a:ext>
          </a:extLst>
        </xdr:cNvPr>
        <xdr:cNvSpPr txBox="1"/>
      </xdr:nvSpPr>
      <xdr:spPr>
        <a:xfrm>
          <a:off x="2912534" y="3873499"/>
          <a:ext cx="2476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15</xdr:col>
      <xdr:colOff>527050</xdr:colOff>
      <xdr:row>20</xdr:row>
      <xdr:rowOff>31750</xdr:rowOff>
    </xdr:from>
    <xdr:to>
      <xdr:col>16</xdr:col>
      <xdr:colOff>165100</xdr:colOff>
      <xdr:row>22</xdr:row>
      <xdr:rowOff>12700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F38FACE-CAB4-4F23-B6A4-E7AD91E1247B}"/>
            </a:ext>
          </a:extLst>
        </xdr:cNvPr>
        <xdr:cNvSpPr txBox="1"/>
      </xdr:nvSpPr>
      <xdr:spPr>
        <a:xfrm>
          <a:off x="9671050" y="3841750"/>
          <a:ext cx="2476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4</xdr:col>
      <xdr:colOff>677334</xdr:colOff>
      <xdr:row>28</xdr:row>
      <xdr:rowOff>0</xdr:rowOff>
    </xdr:from>
    <xdr:to>
      <xdr:col>5</xdr:col>
      <xdr:colOff>84666</xdr:colOff>
      <xdr:row>30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45910AE-7FA0-4D7B-8B2B-314ACA480896}"/>
            </a:ext>
          </a:extLst>
        </xdr:cNvPr>
        <xdr:cNvSpPr txBox="1"/>
      </xdr:nvSpPr>
      <xdr:spPr>
        <a:xfrm>
          <a:off x="3049059" y="5334000"/>
          <a:ext cx="83607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4</xdr:col>
      <xdr:colOff>582084</xdr:colOff>
      <xdr:row>40</xdr:row>
      <xdr:rowOff>169333</xdr:rowOff>
    </xdr:from>
    <xdr:to>
      <xdr:col>5</xdr:col>
      <xdr:colOff>0</xdr:colOff>
      <xdr:row>43</xdr:row>
      <xdr:rowOff>31750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B15349-AD08-4E4F-B33D-81DB556EDC22}"/>
            </a:ext>
          </a:extLst>
        </xdr:cNvPr>
        <xdr:cNvSpPr txBox="1"/>
      </xdr:nvSpPr>
      <xdr:spPr>
        <a:xfrm>
          <a:off x="3020484" y="7789333"/>
          <a:ext cx="27516" cy="433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4</xdr:col>
      <xdr:colOff>656166</xdr:colOff>
      <xdr:row>49</xdr:row>
      <xdr:rowOff>0</xdr:rowOff>
    </xdr:from>
    <xdr:to>
      <xdr:col>4</xdr:col>
      <xdr:colOff>931334</xdr:colOff>
      <xdr:row>51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18BA768-1021-4453-AD73-48DED7B4B31D}"/>
            </a:ext>
          </a:extLst>
        </xdr:cNvPr>
        <xdr:cNvSpPr txBox="1"/>
      </xdr:nvSpPr>
      <xdr:spPr>
        <a:xfrm>
          <a:off x="3046941" y="9334500"/>
          <a:ext cx="0" cy="444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15</xdr:col>
      <xdr:colOff>486832</xdr:colOff>
      <xdr:row>49</xdr:row>
      <xdr:rowOff>0</xdr:rowOff>
    </xdr:from>
    <xdr:to>
      <xdr:col>16</xdr:col>
      <xdr:colOff>209550</xdr:colOff>
      <xdr:row>50</xdr:row>
      <xdr:rowOff>137583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4D73813-AD1E-42CA-B83C-F40BF349EE0C}"/>
            </a:ext>
          </a:extLst>
        </xdr:cNvPr>
        <xdr:cNvSpPr txBox="1"/>
      </xdr:nvSpPr>
      <xdr:spPr>
        <a:xfrm>
          <a:off x="9630832" y="9334500"/>
          <a:ext cx="332318" cy="328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16</xdr:col>
      <xdr:colOff>0</xdr:colOff>
      <xdr:row>41</xdr:row>
      <xdr:rowOff>0</xdr:rowOff>
    </xdr:from>
    <xdr:to>
      <xdr:col>16</xdr:col>
      <xdr:colOff>306917</xdr:colOff>
      <xdr:row>43</xdr:row>
      <xdr:rowOff>42333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6BC85BC-9445-4A23-B7AD-8B6CCD591ED1}"/>
            </a:ext>
          </a:extLst>
        </xdr:cNvPr>
        <xdr:cNvSpPr txBox="1"/>
      </xdr:nvSpPr>
      <xdr:spPr>
        <a:xfrm>
          <a:off x="9753600" y="7810500"/>
          <a:ext cx="306917" cy="4233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  <xdr:twoCellAnchor>
    <xdr:from>
      <xdr:col>15</xdr:col>
      <xdr:colOff>486833</xdr:colOff>
      <xdr:row>27</xdr:row>
      <xdr:rowOff>190499</xdr:rowOff>
    </xdr:from>
    <xdr:to>
      <xdr:col>16</xdr:col>
      <xdr:colOff>306917</xdr:colOff>
      <xdr:row>30</xdr:row>
      <xdr:rowOff>52917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33E7F7F-3A00-4F28-AFCD-D6779F727A1A}"/>
            </a:ext>
          </a:extLst>
        </xdr:cNvPr>
        <xdr:cNvSpPr txBox="1"/>
      </xdr:nvSpPr>
      <xdr:spPr>
        <a:xfrm>
          <a:off x="9630833" y="5333999"/>
          <a:ext cx="429684" cy="433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+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uelRosarioMachado\OneDrive%20-%20Genera%20PR\Desktop\Consumo%20de%20Combustible\Consumos%20Combustible%20y%20C&#225;lculos%20de%20Emisiones%202025%20(Anual)%20-%20Sammy%20(15abr25).xlsx" TargetMode="External"/><Relationship Id="rId1" Type="http://schemas.openxmlformats.org/officeDocument/2006/relationships/externalLinkPath" Target="file:///C:\Users\SamuelRosarioMachado\OneDrive%20-%20Genera%20PR\Desktop\Consumo%20de%20Combustible\Consumos%20Combustible%20y%20C&#225;lculos%20de%20Emisiones%202025%20(Anual)%20-%20Sammy%20(15abr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a Sur"/>
      <sheetName val="Turbinas CS"/>
      <sheetName val="Calculos CS 3 y 4"/>
      <sheetName val="CS 5"/>
      <sheetName val="CS6"/>
      <sheetName val="Tabla JCA CS"/>
      <sheetName val="San Juan"/>
      <sheetName val="Cálculos SJ"/>
      <sheetName val="Cálculos SJ5"/>
      <sheetName val="Cálculos SJ6"/>
      <sheetName val="Tabla JCA SJ"/>
      <sheetName val="Aguirre"/>
      <sheetName val="Cálculos AG"/>
      <sheetName val="Tabla JCA AG"/>
      <sheetName val="Palo Seco"/>
      <sheetName val="Cálculos PS"/>
      <sheetName val="MPs PS"/>
      <sheetName val="Tabla JCA PS"/>
      <sheetName val="Turbinas"/>
      <sheetName val="Cálculos Cambalache"/>
      <sheetName val="Cálculos Cambalache (60%)"/>
      <sheetName val="CEMS Cambalache"/>
      <sheetName val="Tabla JCA Cambalache"/>
      <sheetName val="Cálculos Daguao"/>
      <sheetName val="Tabla JCA Daguao"/>
      <sheetName val="Cálculos Yabucoa"/>
      <sheetName val="Tabla JCA Yabucoa"/>
      <sheetName val="Cálculos Vega Baja"/>
      <sheetName val="Tabla JCA Vega Baja"/>
      <sheetName val="Cálculos Jobos"/>
      <sheetName val="Tabla JCA Jobos"/>
      <sheetName val="Cálculos Mayagüez"/>
      <sheetName val="Tabla JCA Mayagü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">
          <cell r="K36">
            <v>1.2833333333333336E-3</v>
          </cell>
          <cell r="L36">
            <v>1.2833333333333336E-3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4"/>
  <sheetViews>
    <sheetView workbookViewId="0">
      <selection activeCell="A5" sqref="A5:A16"/>
    </sheetView>
  </sheetViews>
  <sheetFormatPr defaultColWidth="8.85546875" defaultRowHeight="15" x14ac:dyDescent="0.25"/>
  <cols>
    <col min="1" max="1" width="9.42578125" style="327" bestFit="1" customWidth="1"/>
    <col min="2" max="2" width="23.7109375" style="327" customWidth="1"/>
    <col min="3" max="3" width="22.5703125" style="327" customWidth="1"/>
    <col min="4" max="4" width="12.85546875" style="327" customWidth="1"/>
    <col min="5" max="5" width="13.7109375" style="327" bestFit="1" customWidth="1"/>
    <col min="6" max="6" width="8.85546875" style="327"/>
    <col min="7" max="7" width="10.28515625" style="327" customWidth="1"/>
    <col min="8" max="8" width="10.42578125" style="327" customWidth="1"/>
    <col min="9" max="9" width="10.28515625" style="327" customWidth="1"/>
    <col min="10" max="10" width="11.7109375" style="327" customWidth="1"/>
    <col min="11" max="11" width="8.85546875" style="327"/>
    <col min="12" max="12" width="12.5703125" style="327" bestFit="1" customWidth="1"/>
    <col min="13" max="13" width="12.42578125" style="327" customWidth="1"/>
    <col min="14" max="14" width="10.7109375" style="327" customWidth="1"/>
    <col min="15" max="15" width="10.42578125" style="327" customWidth="1"/>
    <col min="16" max="16384" width="8.85546875" style="327"/>
  </cols>
  <sheetData>
    <row r="1" spans="1:13" ht="15.75" thickBot="1" x14ac:dyDescent="0.3"/>
    <row r="2" spans="1:13" ht="15.75" thickBot="1" x14ac:dyDescent="0.3">
      <c r="A2" s="880" t="s">
        <v>400</v>
      </c>
      <c r="B2" s="881"/>
      <c r="C2" s="881"/>
      <c r="D2" s="881"/>
      <c r="E2" s="881"/>
      <c r="F2" s="881"/>
      <c r="G2" s="881"/>
      <c r="H2" s="881"/>
      <c r="I2" s="882"/>
    </row>
    <row r="3" spans="1:13" ht="15.75" thickBot="1" x14ac:dyDescent="0.3">
      <c r="A3" s="880" t="s">
        <v>79</v>
      </c>
      <c r="B3" s="881"/>
      <c r="C3" s="881"/>
      <c r="D3" s="881"/>
      <c r="E3" s="881"/>
      <c r="F3" s="883" t="s">
        <v>130</v>
      </c>
      <c r="G3" s="881"/>
      <c r="H3" s="881"/>
      <c r="I3" s="882"/>
      <c r="L3" s="327" t="s">
        <v>30</v>
      </c>
    </row>
    <row r="4" spans="1:13" ht="15.75" thickBot="1" x14ac:dyDescent="0.3">
      <c r="A4" s="360" t="s">
        <v>5</v>
      </c>
      <c r="B4" s="332" t="s">
        <v>0</v>
      </c>
      <c r="C4" s="332" t="s">
        <v>1</v>
      </c>
      <c r="D4" s="332" t="s">
        <v>2</v>
      </c>
      <c r="E4" s="332" t="s">
        <v>3</v>
      </c>
      <c r="F4" s="332" t="s">
        <v>0</v>
      </c>
      <c r="G4" s="332" t="s">
        <v>1</v>
      </c>
      <c r="H4" s="333" t="s">
        <v>2</v>
      </c>
      <c r="I4" s="333" t="s">
        <v>3</v>
      </c>
      <c r="J4" s="334" t="s">
        <v>0</v>
      </c>
      <c r="K4" s="335" t="s">
        <v>1</v>
      </c>
      <c r="L4" s="336" t="s">
        <v>2</v>
      </c>
      <c r="M4" s="337" t="s">
        <v>3</v>
      </c>
    </row>
    <row r="5" spans="1:13" x14ac:dyDescent="0.25">
      <c r="A5" s="696">
        <v>46023</v>
      </c>
      <c r="B5" s="361"/>
      <c r="C5" s="361"/>
      <c r="D5" s="544"/>
      <c r="E5" s="545"/>
      <c r="F5" s="362"/>
      <c r="G5" s="363"/>
      <c r="H5" s="550"/>
      <c r="I5" s="551"/>
      <c r="J5" s="364">
        <v>0</v>
      </c>
      <c r="K5" s="361">
        <v>0</v>
      </c>
      <c r="L5" s="550"/>
      <c r="M5" s="551"/>
    </row>
    <row r="6" spans="1:13" x14ac:dyDescent="0.25">
      <c r="A6" s="738">
        <v>46054</v>
      </c>
      <c r="B6" s="766">
        <v>0</v>
      </c>
      <c r="C6" s="766">
        <v>0</v>
      </c>
      <c r="D6" s="767">
        <f>SUM(L6*42)</f>
        <v>1967839.86</v>
      </c>
      <c r="E6" s="768">
        <f>SUM(M6*42)</f>
        <v>7883312.2199999997</v>
      </c>
      <c r="F6" s="769">
        <v>0</v>
      </c>
      <c r="G6" s="770">
        <v>0</v>
      </c>
      <c r="H6" s="771">
        <v>0.47</v>
      </c>
      <c r="I6" s="772">
        <v>0.47</v>
      </c>
      <c r="J6" s="773">
        <v>0</v>
      </c>
      <c r="K6" s="766">
        <v>0</v>
      </c>
      <c r="L6" s="771">
        <v>46853.33</v>
      </c>
      <c r="M6" s="772">
        <v>187697.91</v>
      </c>
    </row>
    <row r="7" spans="1:13" x14ac:dyDescent="0.25">
      <c r="A7" s="697">
        <v>46082</v>
      </c>
      <c r="B7" s="366"/>
      <c r="C7" s="366"/>
      <c r="D7" s="546"/>
      <c r="E7" s="547"/>
      <c r="F7" s="367"/>
      <c r="G7" s="343"/>
      <c r="H7" s="552"/>
      <c r="I7" s="553"/>
      <c r="J7" s="344">
        <v>0</v>
      </c>
      <c r="K7" s="366">
        <v>0</v>
      </c>
      <c r="L7" s="552"/>
      <c r="M7" s="553"/>
    </row>
    <row r="8" spans="1:13" x14ac:dyDescent="0.25">
      <c r="A8" s="697">
        <v>46113</v>
      </c>
      <c r="B8" s="366"/>
      <c r="C8" s="366"/>
      <c r="D8" s="546"/>
      <c r="E8" s="547"/>
      <c r="F8" s="367"/>
      <c r="G8" s="343"/>
      <c r="H8" s="552"/>
      <c r="I8" s="553"/>
      <c r="J8" s="344">
        <v>0</v>
      </c>
      <c r="K8" s="366">
        <v>0</v>
      </c>
      <c r="L8" s="552"/>
      <c r="M8" s="553"/>
    </row>
    <row r="9" spans="1:13" x14ac:dyDescent="0.25">
      <c r="A9" s="697">
        <v>46143</v>
      </c>
      <c r="B9" s="366"/>
      <c r="C9" s="366"/>
      <c r="D9" s="546"/>
      <c r="E9" s="547"/>
      <c r="F9" s="367"/>
      <c r="G9" s="343"/>
      <c r="H9" s="552"/>
      <c r="I9" s="553"/>
      <c r="J9" s="344">
        <v>0</v>
      </c>
      <c r="K9" s="366">
        <v>0</v>
      </c>
      <c r="L9" s="552"/>
      <c r="M9" s="553"/>
    </row>
    <row r="10" spans="1:13" x14ac:dyDescent="0.25">
      <c r="A10" s="697">
        <v>46174</v>
      </c>
      <c r="B10" s="366"/>
      <c r="C10" s="366"/>
      <c r="D10" s="546"/>
      <c r="E10" s="547"/>
      <c r="F10" s="367"/>
      <c r="G10" s="343"/>
      <c r="H10" s="552"/>
      <c r="I10" s="553"/>
      <c r="J10" s="344">
        <v>0</v>
      </c>
      <c r="K10" s="366">
        <v>0</v>
      </c>
      <c r="L10" s="552"/>
      <c r="M10" s="553"/>
    </row>
    <row r="11" spans="1:13" x14ac:dyDescent="0.25">
      <c r="A11" s="697">
        <v>46204</v>
      </c>
      <c r="B11" s="341"/>
      <c r="C11" s="341"/>
      <c r="D11" s="546"/>
      <c r="E11" s="547"/>
      <c r="F11" s="342"/>
      <c r="G11" s="343"/>
      <c r="H11" s="552"/>
      <c r="I11" s="553"/>
      <c r="J11" s="344">
        <v>0</v>
      </c>
      <c r="K11" s="341">
        <v>0</v>
      </c>
      <c r="L11" s="552"/>
      <c r="M11" s="553"/>
    </row>
    <row r="12" spans="1:13" x14ac:dyDescent="0.25">
      <c r="A12" s="697">
        <v>46235</v>
      </c>
      <c r="B12" s="341"/>
      <c r="C12" s="341"/>
      <c r="D12" s="546"/>
      <c r="E12" s="547"/>
      <c r="F12" s="342"/>
      <c r="G12" s="343"/>
      <c r="H12" s="552"/>
      <c r="I12" s="553"/>
      <c r="J12" s="344">
        <v>0</v>
      </c>
      <c r="K12" s="341">
        <v>0</v>
      </c>
      <c r="L12" s="552"/>
      <c r="M12" s="553"/>
    </row>
    <row r="13" spans="1:13" x14ac:dyDescent="0.25">
      <c r="A13" s="697">
        <v>46266</v>
      </c>
      <c r="B13" s="341"/>
      <c r="C13" s="341"/>
      <c r="D13" s="546"/>
      <c r="E13" s="547"/>
      <c r="F13" s="342"/>
      <c r="G13" s="343"/>
      <c r="H13" s="552"/>
      <c r="I13" s="553"/>
      <c r="J13" s="344">
        <v>0</v>
      </c>
      <c r="K13" s="341">
        <v>0</v>
      </c>
      <c r="L13" s="552"/>
      <c r="M13" s="553"/>
    </row>
    <row r="14" spans="1:13" x14ac:dyDescent="0.25">
      <c r="A14" s="697">
        <v>46296</v>
      </c>
      <c r="B14" s="341"/>
      <c r="C14" s="341"/>
      <c r="D14" s="546"/>
      <c r="E14" s="547"/>
      <c r="F14" s="342"/>
      <c r="G14" s="343"/>
      <c r="H14" s="552"/>
      <c r="I14" s="553"/>
      <c r="J14" s="344">
        <v>0</v>
      </c>
      <c r="K14" s="341">
        <v>0</v>
      </c>
      <c r="L14" s="552"/>
      <c r="M14" s="553"/>
    </row>
    <row r="15" spans="1:13" x14ac:dyDescent="0.25">
      <c r="A15" s="697">
        <v>46327</v>
      </c>
      <c r="B15" s="341"/>
      <c r="C15" s="341"/>
      <c r="D15" s="546"/>
      <c r="E15" s="547"/>
      <c r="F15" s="342"/>
      <c r="G15" s="343"/>
      <c r="H15" s="552"/>
      <c r="I15" s="553"/>
      <c r="J15" s="344">
        <v>0</v>
      </c>
      <c r="K15" s="341">
        <v>0</v>
      </c>
      <c r="L15" s="552"/>
      <c r="M15" s="553"/>
    </row>
    <row r="16" spans="1:13" ht="15.75" thickBot="1" x14ac:dyDescent="0.3">
      <c r="A16" s="698">
        <v>46357</v>
      </c>
      <c r="B16" s="346"/>
      <c r="C16" s="346"/>
      <c r="D16" s="548"/>
      <c r="E16" s="549"/>
      <c r="F16" s="342"/>
      <c r="G16" s="343"/>
      <c r="H16" s="554"/>
      <c r="I16" s="555"/>
      <c r="J16" s="347">
        <v>0</v>
      </c>
      <c r="K16" s="346">
        <v>0</v>
      </c>
      <c r="L16" s="554"/>
      <c r="M16" s="555"/>
    </row>
    <row r="17" spans="1:9" ht="15.75" thickBot="1" x14ac:dyDescent="0.3">
      <c r="A17" s="332" t="s">
        <v>4</v>
      </c>
      <c r="B17" s="348">
        <f>SUM(B5:B16)</f>
        <v>0</v>
      </c>
      <c r="C17" s="348">
        <f>SUM(C5:C16)</f>
        <v>0</v>
      </c>
      <c r="D17" s="348">
        <f>SUM(D5:D16)</f>
        <v>1967839.86</v>
      </c>
      <c r="E17" s="348">
        <f>SUM(E5:E16)</f>
        <v>7883312.2199999997</v>
      </c>
      <c r="F17" s="349">
        <f>AVERAGE(F5:F16)</f>
        <v>0</v>
      </c>
      <c r="G17" s="349">
        <f>AVERAGE(G5:G16)</f>
        <v>0</v>
      </c>
      <c r="H17" s="350"/>
      <c r="I17" s="350"/>
    </row>
    <row r="19" spans="1:9" x14ac:dyDescent="0.25">
      <c r="B19" s="368">
        <f>B17+C17</f>
        <v>0</v>
      </c>
    </row>
    <row r="20" spans="1:9" ht="15.75" thickBot="1" x14ac:dyDescent="0.3"/>
    <row r="21" spans="1:9" ht="15.75" thickBot="1" x14ac:dyDescent="0.3">
      <c r="A21" s="880" t="s">
        <v>398</v>
      </c>
      <c r="B21" s="881"/>
      <c r="C21" s="881"/>
      <c r="D21" s="881"/>
      <c r="E21" s="882"/>
    </row>
    <row r="22" spans="1:9" ht="15.75" thickBot="1" x14ac:dyDescent="0.3">
      <c r="A22" s="884" t="s">
        <v>5</v>
      </c>
      <c r="B22" s="883" t="s">
        <v>79</v>
      </c>
      <c r="C22" s="881"/>
      <c r="D22" s="883" t="s">
        <v>130</v>
      </c>
      <c r="E22" s="882"/>
      <c r="G22" s="327" t="s">
        <v>30</v>
      </c>
    </row>
    <row r="23" spans="1:9" ht="15.75" thickBot="1" x14ac:dyDescent="0.3">
      <c r="A23" s="885"/>
      <c r="B23" s="336" t="s">
        <v>20</v>
      </c>
      <c r="C23" s="335" t="s">
        <v>21</v>
      </c>
      <c r="D23" s="336" t="s">
        <v>20</v>
      </c>
      <c r="E23" s="337" t="s">
        <v>21</v>
      </c>
      <c r="G23" s="336" t="s">
        <v>20</v>
      </c>
      <c r="H23" s="337" t="s">
        <v>21</v>
      </c>
    </row>
    <row r="24" spans="1:9" x14ac:dyDescent="0.25">
      <c r="A24" s="696">
        <v>46023</v>
      </c>
      <c r="B24" s="556"/>
      <c r="C24" s="556"/>
      <c r="D24" s="557"/>
      <c r="E24" s="557"/>
      <c r="G24" s="365">
        <v>0</v>
      </c>
      <c r="H24" s="369">
        <v>0</v>
      </c>
    </row>
    <row r="25" spans="1:9" x14ac:dyDescent="0.25">
      <c r="A25" s="738">
        <v>46054</v>
      </c>
      <c r="B25" s="774">
        <v>0</v>
      </c>
      <c r="C25" s="774">
        <v>0</v>
      </c>
      <c r="D25" s="775">
        <v>8.0000000000000002E-3</v>
      </c>
      <c r="E25" s="775">
        <v>8.0000000000000002E-3</v>
      </c>
      <c r="G25" s="365">
        <v>0</v>
      </c>
      <c r="H25" s="369">
        <v>0</v>
      </c>
    </row>
    <row r="26" spans="1:9" x14ac:dyDescent="0.25">
      <c r="A26" s="697">
        <v>46082</v>
      </c>
      <c r="B26" s="558"/>
      <c r="C26" s="558"/>
      <c r="D26" s="559"/>
      <c r="E26" s="559"/>
      <c r="G26" s="365">
        <v>0</v>
      </c>
      <c r="H26" s="369">
        <v>0</v>
      </c>
    </row>
    <row r="27" spans="1:9" x14ac:dyDescent="0.25">
      <c r="A27" s="697">
        <v>46113</v>
      </c>
      <c r="B27" s="558"/>
      <c r="C27" s="558"/>
      <c r="D27" s="559"/>
      <c r="E27" s="559"/>
      <c r="G27" s="365">
        <v>0</v>
      </c>
      <c r="H27" s="369">
        <v>0</v>
      </c>
    </row>
    <row r="28" spans="1:9" x14ac:dyDescent="0.25">
      <c r="A28" s="697">
        <v>46143</v>
      </c>
      <c r="B28" s="558"/>
      <c r="C28" s="558"/>
      <c r="D28" s="559"/>
      <c r="E28" s="559"/>
      <c r="G28" s="365">
        <v>0</v>
      </c>
      <c r="H28" s="369">
        <v>0</v>
      </c>
    </row>
    <row r="29" spans="1:9" x14ac:dyDescent="0.25">
      <c r="A29" s="697">
        <v>46174</v>
      </c>
      <c r="B29" s="558"/>
      <c r="C29" s="558"/>
      <c r="D29" s="559"/>
      <c r="E29" s="559"/>
      <c r="G29" s="365">
        <v>0</v>
      </c>
      <c r="H29" s="369">
        <v>0</v>
      </c>
    </row>
    <row r="30" spans="1:9" x14ac:dyDescent="0.25">
      <c r="A30" s="697">
        <v>46204</v>
      </c>
      <c r="B30" s="558"/>
      <c r="C30" s="558"/>
      <c r="D30" s="559"/>
      <c r="E30" s="559"/>
      <c r="G30" s="369"/>
      <c r="H30" s="369"/>
    </row>
    <row r="31" spans="1:9" x14ac:dyDescent="0.25">
      <c r="A31" s="697">
        <v>46235</v>
      </c>
      <c r="B31" s="558"/>
      <c r="C31" s="558"/>
      <c r="D31" s="559"/>
      <c r="E31" s="559"/>
      <c r="G31" s="369"/>
      <c r="H31" s="369"/>
    </row>
    <row r="32" spans="1:9" x14ac:dyDescent="0.25">
      <c r="A32" s="697">
        <v>46266</v>
      </c>
      <c r="B32" s="558"/>
      <c r="C32" s="558"/>
      <c r="D32" s="559"/>
      <c r="E32" s="559"/>
      <c r="G32" s="369"/>
      <c r="H32" s="369"/>
    </row>
    <row r="33" spans="1:12" x14ac:dyDescent="0.25">
      <c r="A33" s="697">
        <v>46296</v>
      </c>
      <c r="B33" s="558"/>
      <c r="C33" s="558"/>
      <c r="D33" s="559"/>
      <c r="E33" s="559"/>
      <c r="G33" s="369"/>
      <c r="H33" s="369"/>
    </row>
    <row r="34" spans="1:12" x14ac:dyDescent="0.25">
      <c r="A34" s="697">
        <v>46327</v>
      </c>
      <c r="B34" s="558"/>
      <c r="C34" s="558"/>
      <c r="D34" s="559"/>
      <c r="E34" s="559"/>
      <c r="G34" s="369"/>
      <c r="H34" s="369"/>
    </row>
    <row r="35" spans="1:12" ht="15.75" thickBot="1" x14ac:dyDescent="0.3">
      <c r="A35" s="698">
        <v>46357</v>
      </c>
      <c r="B35" s="558"/>
      <c r="C35" s="560"/>
      <c r="D35" s="561"/>
      <c r="E35" s="561"/>
      <c r="G35" s="369"/>
      <c r="H35" s="369"/>
    </row>
    <row r="36" spans="1:12" ht="15.75" thickBot="1" x14ac:dyDescent="0.3">
      <c r="A36" s="332" t="s">
        <v>4</v>
      </c>
      <c r="B36" s="348">
        <f>SUM(B24:B35)</f>
        <v>0</v>
      </c>
      <c r="C36" s="348">
        <f>SUM(C24:C35)</f>
        <v>0</v>
      </c>
      <c r="D36" s="371"/>
      <c r="E36" s="371"/>
    </row>
    <row r="37" spans="1:12" x14ac:dyDescent="0.25">
      <c r="L37" s="372"/>
    </row>
    <row r="38" spans="1:12" ht="15.75" thickBot="1" x14ac:dyDescent="0.3"/>
    <row r="39" spans="1:12" ht="15.75" thickBot="1" x14ac:dyDescent="0.3">
      <c r="A39" s="880" t="s">
        <v>399</v>
      </c>
      <c r="B39" s="881"/>
      <c r="C39" s="881"/>
      <c r="D39" s="881"/>
      <c r="E39" s="882"/>
    </row>
    <row r="40" spans="1:12" ht="15.75" thickBot="1" x14ac:dyDescent="0.3">
      <c r="A40" s="887" t="s">
        <v>5</v>
      </c>
      <c r="B40" s="883" t="s">
        <v>31</v>
      </c>
      <c r="C40" s="886"/>
      <c r="D40" s="883" t="s">
        <v>130</v>
      </c>
      <c r="E40" s="882"/>
    </row>
    <row r="41" spans="1:12" ht="15.75" thickBot="1" x14ac:dyDescent="0.3">
      <c r="A41" s="888"/>
      <c r="B41" s="336" t="s">
        <v>33</v>
      </c>
      <c r="C41" s="335" t="s">
        <v>34</v>
      </c>
      <c r="D41" s="336" t="s">
        <v>33</v>
      </c>
      <c r="E41" s="337" t="s">
        <v>34</v>
      </c>
    </row>
    <row r="42" spans="1:12" x14ac:dyDescent="0.25">
      <c r="A42" s="696">
        <v>46023</v>
      </c>
      <c r="B42" s="562"/>
      <c r="C42" s="562"/>
      <c r="D42" s="563"/>
      <c r="E42" s="563"/>
    </row>
    <row r="43" spans="1:12" x14ac:dyDescent="0.25">
      <c r="A43" s="738">
        <v>46054</v>
      </c>
      <c r="B43" s="777">
        <v>1492830</v>
      </c>
      <c r="C43" s="764">
        <v>731915920</v>
      </c>
      <c r="D43" s="776">
        <v>1E-3</v>
      </c>
      <c r="E43" s="776">
        <v>1E-3</v>
      </c>
    </row>
    <row r="44" spans="1:12" x14ac:dyDescent="0.25">
      <c r="A44" s="697">
        <v>46082</v>
      </c>
      <c r="B44" s="564"/>
      <c r="C44" s="564"/>
      <c r="D44" s="565"/>
      <c r="E44" s="565"/>
    </row>
    <row r="45" spans="1:12" x14ac:dyDescent="0.25">
      <c r="A45" s="697">
        <v>46113</v>
      </c>
      <c r="B45" s="564"/>
      <c r="C45" s="564"/>
      <c r="D45" s="565"/>
      <c r="E45" s="565"/>
    </row>
    <row r="46" spans="1:12" x14ac:dyDescent="0.25">
      <c r="A46" s="697">
        <v>46143</v>
      </c>
      <c r="B46" s="564"/>
      <c r="C46" s="564"/>
      <c r="D46" s="565"/>
      <c r="E46" s="565"/>
    </row>
    <row r="47" spans="1:12" x14ac:dyDescent="0.25">
      <c r="A47" s="697">
        <v>46174</v>
      </c>
      <c r="B47" s="564"/>
      <c r="C47" s="564"/>
      <c r="D47" s="565"/>
      <c r="E47" s="565"/>
    </row>
    <row r="48" spans="1:12" x14ac:dyDescent="0.25">
      <c r="A48" s="697">
        <v>46204</v>
      </c>
      <c r="B48" s="566"/>
      <c r="C48" s="566"/>
      <c r="D48" s="567"/>
      <c r="E48" s="567"/>
    </row>
    <row r="49" spans="1:5" x14ac:dyDescent="0.25">
      <c r="A49" s="697">
        <v>46235</v>
      </c>
      <c r="B49" s="566"/>
      <c r="C49" s="566"/>
      <c r="D49" s="567"/>
      <c r="E49" s="567"/>
    </row>
    <row r="50" spans="1:5" x14ac:dyDescent="0.25">
      <c r="A50" s="697">
        <v>46266</v>
      </c>
      <c r="B50" s="566"/>
      <c r="C50" s="566"/>
      <c r="D50" s="567"/>
      <c r="E50" s="567"/>
    </row>
    <row r="51" spans="1:5" x14ac:dyDescent="0.25">
      <c r="A51" s="697">
        <v>46296</v>
      </c>
      <c r="B51" s="566"/>
      <c r="C51" s="566"/>
      <c r="D51" s="567"/>
      <c r="E51" s="567"/>
    </row>
    <row r="52" spans="1:5" x14ac:dyDescent="0.25">
      <c r="A52" s="697">
        <v>46327</v>
      </c>
      <c r="B52" s="566"/>
      <c r="C52" s="566"/>
      <c r="D52" s="567"/>
      <c r="E52" s="567"/>
    </row>
    <row r="53" spans="1:5" ht="15.75" thickBot="1" x14ac:dyDescent="0.3">
      <c r="A53" s="698">
        <v>46357</v>
      </c>
      <c r="B53" s="568"/>
      <c r="C53" s="568"/>
      <c r="D53" s="569"/>
      <c r="E53" s="569"/>
    </row>
    <row r="54" spans="1:5" ht="15.75" thickBot="1" x14ac:dyDescent="0.3">
      <c r="A54" s="332" t="s">
        <v>32</v>
      </c>
      <c r="B54" s="357">
        <f>SUM(B42:B53)</f>
        <v>1492830</v>
      </c>
      <c r="C54" s="357">
        <f>SUM(C42:C53)</f>
        <v>731915920</v>
      </c>
      <c r="D54" s="358">
        <f>0</f>
        <v>0</v>
      </c>
      <c r="E54" s="358">
        <f>0</f>
        <v>0</v>
      </c>
    </row>
  </sheetData>
  <mergeCells count="11">
    <mergeCell ref="A39:E39"/>
    <mergeCell ref="D40:E40"/>
    <mergeCell ref="B40:C40"/>
    <mergeCell ref="A40:A41"/>
    <mergeCell ref="A3:E3"/>
    <mergeCell ref="A2:I2"/>
    <mergeCell ref="F3:I3"/>
    <mergeCell ref="A21:E21"/>
    <mergeCell ref="D22:E22"/>
    <mergeCell ref="B22:C22"/>
    <mergeCell ref="A22:A23"/>
  </mergeCells>
  <conditionalFormatting sqref="B42:C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{A6A01CD7-1DAA-48A9-97E4-0EEF3F699CF2}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A01CD7-1DAA-48A9-97E4-0EEF3F699C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B42:C53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A8C9-2968-48E1-A3A8-D55E40AFACE8}">
  <sheetPr codeName="Sheet10"/>
  <dimension ref="A1:X83"/>
  <sheetViews>
    <sheetView zoomScaleNormal="100" workbookViewId="0">
      <selection sqref="A1:P1"/>
    </sheetView>
  </sheetViews>
  <sheetFormatPr defaultRowHeight="15" x14ac:dyDescent="0.25"/>
  <cols>
    <col min="1" max="2" width="18.28515625" customWidth="1"/>
    <col min="3" max="3" width="16.5703125" customWidth="1"/>
    <col min="4" max="4" width="12.42578125" customWidth="1"/>
    <col min="5" max="5" width="11.5703125" customWidth="1"/>
    <col min="6" max="6" width="13.5703125" customWidth="1"/>
    <col min="7" max="7" width="4.85546875" customWidth="1"/>
    <col min="8" max="8" width="8.42578125" bestFit="1" customWidth="1"/>
    <col min="9" max="9" width="8.28515625" bestFit="1" customWidth="1"/>
    <col min="10" max="10" width="5.5703125" bestFit="1" customWidth="1"/>
    <col min="11" max="11" width="3.42578125" bestFit="1" customWidth="1"/>
    <col min="12" max="12" width="4.5703125" bestFit="1" customWidth="1"/>
    <col min="13" max="13" width="12.7109375" bestFit="1" customWidth="1"/>
    <col min="14" max="14" width="8.5703125" bestFit="1" customWidth="1"/>
    <col min="15" max="15" width="9.140625" bestFit="1" customWidth="1"/>
    <col min="16" max="16" width="8.28515625" bestFit="1" customWidth="1"/>
    <col min="17" max="17" width="1.7109375" bestFit="1" customWidth="1"/>
    <col min="18" max="18" width="8" bestFit="1" customWidth="1"/>
    <col min="19" max="19" width="8.28515625" bestFit="1" customWidth="1"/>
    <col min="20" max="20" width="5.5703125" bestFit="1" customWidth="1"/>
    <col min="21" max="21" width="3.42578125" bestFit="1" customWidth="1"/>
  </cols>
  <sheetData>
    <row r="1" spans="1:24" x14ac:dyDescent="0.25">
      <c r="A1" s="900" t="s">
        <v>427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</row>
    <row r="2" spans="1:24" ht="15.75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4" ht="45.95" customHeight="1" thickBot="1" x14ac:dyDescent="0.3">
      <c r="A3" s="152" t="s">
        <v>159</v>
      </c>
      <c r="B3" s="151" t="s">
        <v>269</v>
      </c>
      <c r="C3" s="151" t="s">
        <v>304</v>
      </c>
      <c r="D3" s="150" t="s">
        <v>274</v>
      </c>
      <c r="E3" s="150" t="s">
        <v>174</v>
      </c>
      <c r="M3" s="70"/>
      <c r="N3" s="70"/>
      <c r="O3" s="70"/>
      <c r="P3" s="70"/>
    </row>
    <row r="4" spans="1:24" x14ac:dyDescent="0.25">
      <c r="A4" s="149" t="s">
        <v>57</v>
      </c>
      <c r="B4" s="486">
        <v>9.2099392372881367E-2</v>
      </c>
      <c r="C4" s="486">
        <v>0.10805849351186443</v>
      </c>
      <c r="D4" s="34">
        <f>B23</f>
        <v>0</v>
      </c>
      <c r="E4" s="91">
        <f>F23</f>
        <v>0</v>
      </c>
      <c r="J4" s="55"/>
      <c r="K4" s="142"/>
      <c r="L4" s="142"/>
      <c r="M4" s="70"/>
      <c r="N4" s="70"/>
      <c r="O4" s="70"/>
      <c r="P4" s="70"/>
    </row>
    <row r="5" spans="1:24" x14ac:dyDescent="0.25">
      <c r="A5" s="146" t="s">
        <v>61</v>
      </c>
      <c r="B5" s="486">
        <v>2.242967653780327E-2</v>
      </c>
      <c r="C5" s="486">
        <v>9.442636306037016E-3</v>
      </c>
      <c r="D5" s="144">
        <f>B29</f>
        <v>0</v>
      </c>
      <c r="E5" s="143">
        <f>F29</f>
        <v>0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24" x14ac:dyDescent="0.25">
      <c r="A6" s="146" t="s">
        <v>59</v>
      </c>
      <c r="B6" s="145">
        <v>2.0999999999999999E-3</v>
      </c>
      <c r="C6" s="145">
        <v>8.3000000000000001E-3</v>
      </c>
      <c r="D6" s="144">
        <f>B35</f>
        <v>0</v>
      </c>
      <c r="E6" s="143">
        <f>F35</f>
        <v>0</v>
      </c>
      <c r="F6" s="901" t="s">
        <v>169</v>
      </c>
      <c r="G6" s="902"/>
      <c r="H6" s="902"/>
      <c r="I6" s="902"/>
      <c r="J6" s="902"/>
      <c r="K6" s="902"/>
      <c r="L6" s="902"/>
      <c r="M6" s="902"/>
      <c r="N6" s="902"/>
      <c r="O6" s="161"/>
      <c r="P6" s="161"/>
    </row>
    <row r="7" spans="1:24" x14ac:dyDescent="0.25">
      <c r="A7" s="146" t="s">
        <v>54</v>
      </c>
      <c r="B7" s="145">
        <v>6.6E-3</v>
      </c>
      <c r="C7" s="145">
        <v>2.8400000000000002E-2</v>
      </c>
      <c r="D7" s="144">
        <f>B41</f>
        <v>0</v>
      </c>
      <c r="E7" s="143">
        <f>F41</f>
        <v>0</v>
      </c>
      <c r="F7" s="160" t="s">
        <v>275</v>
      </c>
      <c r="G7" s="485" t="s">
        <v>305</v>
      </c>
      <c r="I7" s="141"/>
      <c r="J7" s="141"/>
      <c r="K7" s="141"/>
      <c r="L7" s="141"/>
      <c r="M7" s="141"/>
      <c r="N7" s="141"/>
      <c r="O7" s="141"/>
      <c r="P7" s="141"/>
    </row>
    <row r="8" spans="1:24" x14ac:dyDescent="0.25">
      <c r="A8" s="146" t="s">
        <v>113</v>
      </c>
      <c r="B8" s="145">
        <v>6.6E-3</v>
      </c>
      <c r="C8" s="145">
        <v>3.5700000000000003E-2</v>
      </c>
      <c r="D8" s="144">
        <f>B47</f>
        <v>0</v>
      </c>
      <c r="E8" s="147">
        <f>F47</f>
        <v>0</v>
      </c>
      <c r="F8" s="157"/>
      <c r="G8" s="485" t="s">
        <v>308</v>
      </c>
      <c r="H8" s="141"/>
      <c r="I8" s="141"/>
      <c r="J8" s="141"/>
      <c r="K8" s="141"/>
      <c r="L8" s="141"/>
      <c r="M8" s="141"/>
      <c r="N8" s="141"/>
      <c r="O8" s="141"/>
    </row>
    <row r="9" spans="1:24" x14ac:dyDescent="0.25">
      <c r="A9" s="146" t="s">
        <v>155</v>
      </c>
      <c r="B9" s="145">
        <v>6.6E-3</v>
      </c>
      <c r="C9" s="145">
        <v>3.5700000000000003E-2</v>
      </c>
      <c r="D9" s="144">
        <f>B53</f>
        <v>0</v>
      </c>
      <c r="E9" s="143">
        <f>F53</f>
        <v>0</v>
      </c>
      <c r="F9" s="31"/>
      <c r="G9" s="141" t="s">
        <v>160</v>
      </c>
      <c r="H9" s="141"/>
      <c r="I9" s="141"/>
      <c r="J9" s="141"/>
      <c r="K9" s="141"/>
      <c r="L9" s="141"/>
      <c r="M9" s="141"/>
      <c r="N9" s="141"/>
      <c r="O9" s="141"/>
    </row>
    <row r="10" spans="1:24" x14ac:dyDescent="0.25">
      <c r="A10" s="146" t="s">
        <v>141</v>
      </c>
      <c r="B10" s="145">
        <v>2.8E-3</v>
      </c>
      <c r="C10" s="484" t="s">
        <v>307</v>
      </c>
      <c r="D10" s="144">
        <f>B59</f>
        <v>0</v>
      </c>
      <c r="E10" s="143">
        <f>F59</f>
        <v>0</v>
      </c>
      <c r="F10" s="31"/>
      <c r="G10" s="31"/>
      <c r="H10" s="157"/>
      <c r="I10" s="157"/>
      <c r="J10" s="157"/>
      <c r="K10" s="157"/>
      <c r="L10" s="157"/>
      <c r="M10" s="157"/>
      <c r="N10" s="157"/>
      <c r="O10" s="157"/>
      <c r="P10" s="157"/>
    </row>
    <row r="11" spans="1:24" x14ac:dyDescent="0.25">
      <c r="A11" s="146" t="s">
        <v>114</v>
      </c>
      <c r="B11" s="145">
        <v>4.2999999999999999E-4</v>
      </c>
      <c r="C11" s="145">
        <v>7.7000000000000002E-3</v>
      </c>
      <c r="D11" s="144">
        <f>B65</f>
        <v>0</v>
      </c>
      <c r="E11" s="143">
        <f>F65</f>
        <v>0</v>
      </c>
      <c r="F11" s="163" t="s">
        <v>170</v>
      </c>
      <c r="G11" s="141" t="s">
        <v>278</v>
      </c>
      <c r="H11" s="141"/>
      <c r="I11" s="141"/>
      <c r="J11" s="141"/>
      <c r="K11" s="141"/>
      <c r="L11" s="141"/>
      <c r="N11" s="157"/>
      <c r="O11" s="157"/>
      <c r="P11" s="157"/>
      <c r="V11" t="s">
        <v>328</v>
      </c>
      <c r="W11">
        <f>(73.96+0.003*25+0.0006*298)*2.2046*0.138</f>
        <v>22.578420600240001</v>
      </c>
      <c r="X11" t="s">
        <v>329</v>
      </c>
    </row>
    <row r="12" spans="1:24" x14ac:dyDescent="0.25">
      <c r="A12" s="146" t="s">
        <v>63</v>
      </c>
      <c r="B12" s="145">
        <v>0</v>
      </c>
      <c r="C12" s="145">
        <v>9.0000000000000002E-6</v>
      </c>
      <c r="D12" s="144">
        <f>B71</f>
        <v>0</v>
      </c>
      <c r="E12" s="143">
        <f>F71</f>
        <v>0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W12">
        <f>(475409.8+224+267)*2204.62/8707340462.38</f>
        <v>0.12049378638965323</v>
      </c>
      <c r="X12" t="s">
        <v>330</v>
      </c>
    </row>
    <row r="13" spans="1:24" x14ac:dyDescent="0.25">
      <c r="A13" s="500" t="s">
        <v>328</v>
      </c>
      <c r="B13" s="501" t="s">
        <v>336</v>
      </c>
      <c r="C13" s="501" t="s">
        <v>331</v>
      </c>
      <c r="D13" s="508">
        <f>B77</f>
        <v>0</v>
      </c>
      <c r="E13" s="509">
        <f>F77</f>
        <v>0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4" ht="15.75" thickBot="1" x14ac:dyDescent="0.3">
      <c r="A14" s="153" t="s">
        <v>156</v>
      </c>
      <c r="B14" s="154">
        <v>0</v>
      </c>
      <c r="C14" s="468">
        <v>0</v>
      </c>
      <c r="D14" s="155">
        <v>0</v>
      </c>
      <c r="E14" s="156"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24" x14ac:dyDescent="0.25">
      <c r="A15" s="158"/>
      <c r="B15" s="158"/>
      <c r="C15" s="158"/>
      <c r="D15" s="158"/>
      <c r="E15" s="55"/>
      <c r="H15" s="70"/>
      <c r="I15" s="70"/>
      <c r="J15" s="70"/>
      <c r="K15" s="70"/>
      <c r="L15" s="70"/>
      <c r="M15" s="70"/>
      <c r="N15" s="70"/>
      <c r="O15" s="70"/>
      <c r="P15" s="70"/>
    </row>
    <row r="16" spans="1:24" x14ac:dyDescent="0.25">
      <c r="A16" s="329" t="s">
        <v>350</v>
      </c>
      <c r="B16" s="159">
        <f>'San Juan'!E24</f>
        <v>0</v>
      </c>
      <c r="C16" s="159"/>
      <c r="D16" s="470" t="s">
        <v>268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21" x14ac:dyDescent="0.25">
      <c r="A17" s="330" t="s">
        <v>351</v>
      </c>
      <c r="B17" s="162">
        <f>'San Juan'!O24</f>
        <v>0</v>
      </c>
      <c r="C17" s="162"/>
      <c r="D17" s="472" t="s">
        <v>271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21" x14ac:dyDescent="0.25">
      <c r="A18" s="194" t="s">
        <v>306</v>
      </c>
      <c r="B18" s="193">
        <f>'San Juan'!G24</f>
        <v>7.3999999999999999E-4</v>
      </c>
      <c r="D18" t="s">
        <v>127</v>
      </c>
      <c r="M18" s="70"/>
      <c r="N18" s="70"/>
      <c r="O18" s="70"/>
      <c r="P18" s="70"/>
    </row>
    <row r="19" spans="1:2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21" ht="15.75" x14ac:dyDescent="0.25">
      <c r="A20" s="136" t="s">
        <v>182</v>
      </c>
      <c r="B20" s="164">
        <f>B16</f>
        <v>0</v>
      </c>
      <c r="C20" s="469"/>
      <c r="D20" s="165" t="s">
        <v>171</v>
      </c>
      <c r="E20" s="140">
        <v>0.13800000000000001</v>
      </c>
      <c r="F20" s="167" t="s">
        <v>172</v>
      </c>
      <c r="G20" s="896" t="s">
        <v>183</v>
      </c>
      <c r="H20" s="137">
        <f>C4</f>
        <v>0.10805849351186443</v>
      </c>
      <c r="I20" s="169" t="s">
        <v>177</v>
      </c>
      <c r="J20" s="137">
        <v>1</v>
      </c>
      <c r="K20" s="137" t="s">
        <v>72</v>
      </c>
      <c r="L20" s="139" t="s">
        <v>173</v>
      </c>
      <c r="M20" s="473">
        <f>B17</f>
        <v>0</v>
      </c>
      <c r="N20" s="167" t="s">
        <v>175</v>
      </c>
      <c r="O20" s="164">
        <v>1020</v>
      </c>
      <c r="P20" s="165" t="s">
        <v>176</v>
      </c>
      <c r="Q20" s="896" t="s">
        <v>183</v>
      </c>
      <c r="R20" s="137">
        <f>B4</f>
        <v>9.2099392372881367E-2</v>
      </c>
      <c r="S20" s="169" t="s">
        <v>177</v>
      </c>
      <c r="T20" s="137">
        <v>1</v>
      </c>
      <c r="U20" s="137" t="s">
        <v>72</v>
      </c>
    </row>
    <row r="21" spans="1:21" x14ac:dyDescent="0.25">
      <c r="A21" s="31"/>
      <c r="B21" s="30"/>
      <c r="C21" s="31"/>
      <c r="D21" s="475" t="s">
        <v>279</v>
      </c>
      <c r="E21" s="31"/>
      <c r="F21" s="63" t="s">
        <v>71</v>
      </c>
      <c r="G21" s="896"/>
      <c r="H21" s="70"/>
      <c r="I21" s="170" t="s">
        <v>119</v>
      </c>
      <c r="J21" s="171">
        <v>2000</v>
      </c>
      <c r="K21" s="70" t="s">
        <v>118</v>
      </c>
      <c r="L21" s="31"/>
      <c r="M21" s="31"/>
      <c r="N21" s="63" t="s">
        <v>279</v>
      </c>
      <c r="O21" s="474">
        <v>1000000</v>
      </c>
      <c r="P21" s="166" t="s">
        <v>31</v>
      </c>
      <c r="Q21" s="896"/>
      <c r="R21" s="70"/>
      <c r="S21" s="170" t="s">
        <v>119</v>
      </c>
      <c r="T21" s="171">
        <v>2000</v>
      </c>
      <c r="U21" s="70" t="s">
        <v>118</v>
      </c>
    </row>
    <row r="22" spans="1:2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1" x14ac:dyDescent="0.25">
      <c r="A23" s="136"/>
      <c r="B23" s="67">
        <f>(B20*E20*H20+M20*O20*R20/1000000)/2000</f>
        <v>0</v>
      </c>
      <c r="C23" s="67"/>
      <c r="D23" s="70" t="s">
        <v>280</v>
      </c>
      <c r="E23" s="136" t="s">
        <v>69</v>
      </c>
      <c r="F23" s="55">
        <f>B23*(2000/8760)</f>
        <v>0</v>
      </c>
      <c r="G23" s="70" t="s">
        <v>161</v>
      </c>
      <c r="H23" s="22"/>
      <c r="I23" s="70"/>
      <c r="J23" s="70"/>
      <c r="K23" s="70"/>
      <c r="L23" s="70"/>
      <c r="M23" s="70"/>
      <c r="N23" s="70"/>
      <c r="O23" s="70"/>
      <c r="P23" s="70"/>
    </row>
    <row r="24" spans="1:21" x14ac:dyDescent="0.25">
      <c r="A24" s="70"/>
      <c r="B24" s="70"/>
      <c r="C24" s="70"/>
      <c r="D24" s="70"/>
      <c r="E24" s="70"/>
      <c r="F24" s="70"/>
      <c r="G24" s="70"/>
      <c r="H24" s="69"/>
      <c r="I24" s="69"/>
      <c r="J24" s="69"/>
      <c r="K24" s="70"/>
      <c r="L24" s="70"/>
      <c r="M24" s="70"/>
      <c r="N24" s="70"/>
      <c r="O24" s="70"/>
      <c r="P24" s="70"/>
    </row>
    <row r="25" spans="1:2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25">
      <c r="A26" s="136" t="s">
        <v>162</v>
      </c>
      <c r="B26" s="164">
        <f>B16</f>
        <v>0</v>
      </c>
      <c r="C26" s="469"/>
      <c r="D26" s="165" t="s">
        <v>171</v>
      </c>
      <c r="E26" s="140">
        <v>0.13800000000000001</v>
      </c>
      <c r="F26" s="167" t="s">
        <v>172</v>
      </c>
      <c r="G26" s="896" t="s">
        <v>183</v>
      </c>
      <c r="H26" s="137">
        <f>C5</f>
        <v>9.442636306037016E-3</v>
      </c>
      <c r="I26" s="169" t="s">
        <v>177</v>
      </c>
      <c r="J26" s="137">
        <v>1</v>
      </c>
      <c r="K26" s="137" t="s">
        <v>72</v>
      </c>
      <c r="L26" s="139" t="s">
        <v>173</v>
      </c>
      <c r="M26" s="473">
        <f>B17</f>
        <v>0</v>
      </c>
      <c r="N26" s="165" t="s">
        <v>175</v>
      </c>
      <c r="O26" s="138">
        <v>1020</v>
      </c>
      <c r="P26" s="165" t="s">
        <v>176</v>
      </c>
      <c r="Q26" s="30" t="s">
        <v>183</v>
      </c>
      <c r="R26" s="137">
        <f>B5</f>
        <v>2.242967653780327E-2</v>
      </c>
      <c r="S26" s="169" t="s">
        <v>177</v>
      </c>
      <c r="T26" s="168">
        <v>1</v>
      </c>
      <c r="U26" s="137" t="s">
        <v>72</v>
      </c>
    </row>
    <row r="27" spans="1:21" x14ac:dyDescent="0.25">
      <c r="A27" s="31"/>
      <c r="B27" s="30"/>
      <c r="C27" s="31"/>
      <c r="D27" s="166" t="s">
        <v>279</v>
      </c>
      <c r="E27" s="31"/>
      <c r="F27" s="172" t="s">
        <v>71</v>
      </c>
      <c r="G27" s="896"/>
      <c r="H27" s="70"/>
      <c r="I27" s="170" t="s">
        <v>119</v>
      </c>
      <c r="J27" s="171">
        <v>2000</v>
      </c>
      <c r="K27" s="70" t="s">
        <v>118</v>
      </c>
      <c r="L27" s="31"/>
      <c r="M27" s="31"/>
      <c r="N27" s="166" t="s">
        <v>279</v>
      </c>
      <c r="O27" s="476">
        <v>1000000</v>
      </c>
      <c r="P27" s="166" t="s">
        <v>31</v>
      </c>
      <c r="Q27" s="30"/>
      <c r="R27" s="70"/>
      <c r="S27" s="170" t="s">
        <v>119</v>
      </c>
      <c r="T27" s="173">
        <v>2000</v>
      </c>
      <c r="U27" s="70" t="s">
        <v>118</v>
      </c>
    </row>
    <row r="28" spans="1:2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1" x14ac:dyDescent="0.25">
      <c r="A29" s="136"/>
      <c r="B29" s="67">
        <f>(B26*E26*H26+M26*O26*R26/1000000)/2000</f>
        <v>0</v>
      </c>
      <c r="C29" s="67"/>
      <c r="D29" s="70" t="s">
        <v>280</v>
      </c>
      <c r="E29" s="136" t="s">
        <v>69</v>
      </c>
      <c r="F29" s="55">
        <f>B29*(2000/8760)</f>
        <v>0</v>
      </c>
      <c r="G29" s="70" t="s">
        <v>161</v>
      </c>
      <c r="I29" s="70"/>
      <c r="J29" s="70"/>
      <c r="K29" s="70"/>
      <c r="L29" s="70"/>
      <c r="M29" s="70"/>
      <c r="N29" s="70"/>
      <c r="O29" s="70"/>
      <c r="P29" s="70"/>
    </row>
    <row r="30" spans="1:2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1" x14ac:dyDescent="0.25">
      <c r="A32" s="136" t="s">
        <v>163</v>
      </c>
      <c r="B32" s="164">
        <f>B16</f>
        <v>0</v>
      </c>
      <c r="C32" s="469"/>
      <c r="D32" s="165" t="s">
        <v>171</v>
      </c>
      <c r="E32" s="140">
        <v>0.13800000000000001</v>
      </c>
      <c r="F32" s="167" t="s">
        <v>172</v>
      </c>
      <c r="G32" s="896" t="s">
        <v>183</v>
      </c>
      <c r="H32" s="137">
        <f>C6</f>
        <v>8.3000000000000001E-3</v>
      </c>
      <c r="I32" s="169" t="s">
        <v>177</v>
      </c>
      <c r="J32" s="137">
        <v>1</v>
      </c>
      <c r="K32" s="137" t="s">
        <v>72</v>
      </c>
      <c r="L32" s="139" t="s">
        <v>173</v>
      </c>
      <c r="M32" s="473">
        <f>B17</f>
        <v>0</v>
      </c>
      <c r="N32" s="165" t="s">
        <v>175</v>
      </c>
      <c r="O32" s="138">
        <v>1020</v>
      </c>
      <c r="P32" s="165" t="s">
        <v>176</v>
      </c>
      <c r="Q32" s="30" t="s">
        <v>183</v>
      </c>
      <c r="R32" s="137">
        <f>B6</f>
        <v>2.0999999999999999E-3</v>
      </c>
      <c r="S32" s="169" t="s">
        <v>177</v>
      </c>
      <c r="T32" s="137">
        <v>1</v>
      </c>
      <c r="U32" s="137" t="s">
        <v>72</v>
      </c>
    </row>
    <row r="33" spans="1:21" x14ac:dyDescent="0.25">
      <c r="A33" s="31"/>
      <c r="B33" s="30"/>
      <c r="C33" s="31"/>
      <c r="D33" s="166" t="s">
        <v>279</v>
      </c>
      <c r="E33" s="31"/>
      <c r="F33" s="63" t="s">
        <v>71</v>
      </c>
      <c r="G33" s="896"/>
      <c r="H33" s="70"/>
      <c r="I33" s="170" t="s">
        <v>119</v>
      </c>
      <c r="J33" s="171">
        <v>2000</v>
      </c>
      <c r="K33" s="70" t="s">
        <v>118</v>
      </c>
      <c r="L33" s="31"/>
      <c r="M33" s="31"/>
      <c r="N33" s="166" t="s">
        <v>279</v>
      </c>
      <c r="O33" s="476">
        <v>1000000</v>
      </c>
      <c r="P33" s="166" t="s">
        <v>31</v>
      </c>
      <c r="Q33" s="30"/>
      <c r="R33" s="70"/>
      <c r="S33" s="170" t="s">
        <v>119</v>
      </c>
      <c r="T33" s="171">
        <v>2000</v>
      </c>
      <c r="U33" s="70" t="s">
        <v>118</v>
      </c>
    </row>
    <row r="34" spans="1:2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21" x14ac:dyDescent="0.25">
      <c r="A35" s="136"/>
      <c r="B35" s="67">
        <f>(B32*E32*H32+M32*O32*R32/1000000)/2000</f>
        <v>0</v>
      </c>
      <c r="C35" s="67"/>
      <c r="D35" s="70" t="s">
        <v>280</v>
      </c>
      <c r="E35" s="136" t="s">
        <v>69</v>
      </c>
      <c r="F35" s="55">
        <f>B35*(2000/8760)</f>
        <v>0</v>
      </c>
      <c r="G35" s="70" t="s">
        <v>161</v>
      </c>
      <c r="I35" s="70"/>
      <c r="J35" s="70"/>
      <c r="K35" s="70"/>
      <c r="L35" s="70"/>
      <c r="M35" s="70"/>
      <c r="N35" s="70"/>
      <c r="O35" s="70"/>
      <c r="P35" s="70"/>
    </row>
    <row r="36" spans="1:2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2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21" x14ac:dyDescent="0.25">
      <c r="A38" s="136" t="s">
        <v>164</v>
      </c>
      <c r="B38" s="164">
        <f>B16</f>
        <v>0</v>
      </c>
      <c r="C38" s="469"/>
      <c r="D38" s="165" t="s">
        <v>171</v>
      </c>
      <c r="E38" s="140">
        <v>0.13800000000000001</v>
      </c>
      <c r="F38" s="167" t="s">
        <v>172</v>
      </c>
      <c r="G38" s="896" t="s">
        <v>183</v>
      </c>
      <c r="H38" s="137">
        <f>C7</f>
        <v>2.8400000000000002E-2</v>
      </c>
      <c r="I38" s="169" t="s">
        <v>177</v>
      </c>
      <c r="J38" s="137">
        <v>1</v>
      </c>
      <c r="K38" s="137" t="s">
        <v>72</v>
      </c>
      <c r="L38" s="139" t="s">
        <v>173</v>
      </c>
      <c r="M38" s="473">
        <f>B17</f>
        <v>0</v>
      </c>
      <c r="N38" s="165" t="s">
        <v>175</v>
      </c>
      <c r="O38" s="138">
        <v>1020</v>
      </c>
      <c r="P38" s="165" t="s">
        <v>176</v>
      </c>
      <c r="Q38" s="30" t="s">
        <v>183</v>
      </c>
      <c r="R38" s="137">
        <f>B7</f>
        <v>6.6E-3</v>
      </c>
      <c r="S38" s="169" t="s">
        <v>177</v>
      </c>
      <c r="T38" s="137">
        <v>1</v>
      </c>
      <c r="U38" s="137" t="s">
        <v>72</v>
      </c>
    </row>
    <row r="39" spans="1:21" x14ac:dyDescent="0.25">
      <c r="A39" s="31"/>
      <c r="B39" s="30"/>
      <c r="C39" s="31"/>
      <c r="D39" s="166" t="s">
        <v>279</v>
      </c>
      <c r="E39" s="31"/>
      <c r="F39" s="63" t="s">
        <v>71</v>
      </c>
      <c r="G39" s="896"/>
      <c r="H39" s="70"/>
      <c r="I39" s="170" t="s">
        <v>119</v>
      </c>
      <c r="J39" s="171">
        <v>2000</v>
      </c>
      <c r="K39" s="70" t="s">
        <v>118</v>
      </c>
      <c r="L39" s="31"/>
      <c r="M39" s="31"/>
      <c r="N39" s="166" t="s">
        <v>279</v>
      </c>
      <c r="O39" s="476">
        <v>1000000</v>
      </c>
      <c r="P39" s="166" t="s">
        <v>31</v>
      </c>
      <c r="Q39" s="30"/>
      <c r="R39" s="70"/>
      <c r="S39" s="170" t="s">
        <v>119</v>
      </c>
      <c r="T39" s="171">
        <v>2000</v>
      </c>
      <c r="U39" s="70" t="s">
        <v>118</v>
      </c>
    </row>
    <row r="40" spans="1:21" x14ac:dyDescent="0.25">
      <c r="A40" s="70"/>
      <c r="B40" s="70"/>
      <c r="C40" s="70"/>
      <c r="D40" s="70"/>
      <c r="E40" s="70"/>
      <c r="F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5">
      <c r="A41" s="136"/>
      <c r="B41" s="67">
        <f>(B38*E38*H38+M38*O38*R38/1000000)/2000</f>
        <v>0</v>
      </c>
      <c r="C41" s="67"/>
      <c r="D41" s="70" t="s">
        <v>280</v>
      </c>
      <c r="E41" s="136" t="s">
        <v>69</v>
      </c>
      <c r="F41" s="55">
        <f>B41*(2000/8760)</f>
        <v>0</v>
      </c>
      <c r="G41" s="70" t="s">
        <v>161</v>
      </c>
      <c r="L41" s="70" t="s">
        <v>161</v>
      </c>
      <c r="N41" s="70"/>
      <c r="O41" s="70"/>
      <c r="P41" s="70"/>
      <c r="Q41" s="70"/>
      <c r="R41" s="70"/>
      <c r="S41" s="70"/>
      <c r="T41" s="70"/>
      <c r="U41" s="70"/>
    </row>
    <row r="42" spans="1:21" x14ac:dyDescent="0.25">
      <c r="A42" s="136"/>
      <c r="B42" s="67"/>
      <c r="C42" s="67"/>
      <c r="D42" s="70"/>
      <c r="E42" s="136"/>
      <c r="F42" s="55"/>
      <c r="L42" s="70"/>
      <c r="N42" s="70"/>
      <c r="O42" s="70"/>
      <c r="P42" s="70"/>
      <c r="Q42" s="70"/>
      <c r="R42" s="70"/>
      <c r="S42" s="70"/>
      <c r="T42" s="70"/>
      <c r="U42" s="70"/>
    </row>
    <row r="43" spans="1:21" x14ac:dyDescent="0.25">
      <c r="A43" s="136"/>
      <c r="B43" s="67"/>
      <c r="C43" s="67"/>
      <c r="D43" s="70"/>
      <c r="E43" s="136"/>
      <c r="F43" s="55"/>
      <c r="L43" s="70"/>
      <c r="N43" s="70"/>
      <c r="O43" s="70"/>
      <c r="P43" s="70"/>
      <c r="Q43" s="70"/>
      <c r="R43" s="70"/>
      <c r="S43" s="70"/>
      <c r="T43" s="70"/>
      <c r="U43" s="70"/>
    </row>
    <row r="44" spans="1:21" ht="15.75" x14ac:dyDescent="0.25">
      <c r="A44" s="136" t="s">
        <v>178</v>
      </c>
      <c r="B44" s="164">
        <f>B16</f>
        <v>0</v>
      </c>
      <c r="C44" s="469"/>
      <c r="D44" s="165" t="s">
        <v>171</v>
      </c>
      <c r="E44" s="140">
        <v>0.13800000000000001</v>
      </c>
      <c r="F44" s="167" t="s">
        <v>172</v>
      </c>
      <c r="G44" s="896" t="s">
        <v>183</v>
      </c>
      <c r="H44" s="137">
        <f>C8</f>
        <v>3.5700000000000003E-2</v>
      </c>
      <c r="I44" s="169" t="s">
        <v>177</v>
      </c>
      <c r="J44" s="137">
        <v>1</v>
      </c>
      <c r="K44" s="137" t="s">
        <v>72</v>
      </c>
      <c r="L44" s="139" t="s">
        <v>173</v>
      </c>
      <c r="M44" s="473">
        <f>B17</f>
        <v>0</v>
      </c>
      <c r="N44" s="165" t="s">
        <v>175</v>
      </c>
      <c r="O44" s="138">
        <v>1020</v>
      </c>
      <c r="P44" s="165" t="s">
        <v>176</v>
      </c>
      <c r="Q44" s="30" t="s">
        <v>183</v>
      </c>
      <c r="R44" s="137">
        <f>B8</f>
        <v>6.6E-3</v>
      </c>
      <c r="S44" s="169" t="s">
        <v>177</v>
      </c>
      <c r="T44" s="137">
        <v>1</v>
      </c>
      <c r="U44" s="137" t="s">
        <v>72</v>
      </c>
    </row>
    <row r="45" spans="1:21" x14ac:dyDescent="0.25">
      <c r="A45" s="31"/>
      <c r="B45" s="30"/>
      <c r="C45" s="31"/>
      <c r="D45" s="166" t="s">
        <v>279</v>
      </c>
      <c r="E45" s="31"/>
      <c r="F45" s="63" t="s">
        <v>71</v>
      </c>
      <c r="G45" s="896"/>
      <c r="H45" s="70"/>
      <c r="I45" s="170" t="s">
        <v>119</v>
      </c>
      <c r="J45" s="171">
        <v>2000</v>
      </c>
      <c r="K45" s="70" t="s">
        <v>118</v>
      </c>
      <c r="L45" s="31"/>
      <c r="M45" s="31"/>
      <c r="N45" s="166" t="s">
        <v>279</v>
      </c>
      <c r="O45" s="476">
        <v>1000000</v>
      </c>
      <c r="P45" s="166" t="s">
        <v>31</v>
      </c>
      <c r="Q45" s="30"/>
      <c r="R45" s="70"/>
      <c r="S45" s="170" t="s">
        <v>119</v>
      </c>
      <c r="T45" s="171">
        <v>2000</v>
      </c>
      <c r="U45" s="70" t="s">
        <v>118</v>
      </c>
    </row>
    <row r="46" spans="1:21" x14ac:dyDescent="0.25">
      <c r="A46" s="70"/>
      <c r="B46" s="70"/>
      <c r="C46" s="70"/>
      <c r="D46" s="70"/>
      <c r="E46" s="70"/>
      <c r="F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x14ac:dyDescent="0.25">
      <c r="A47" s="136"/>
      <c r="B47" s="67">
        <f>(B44*E44*H44+M44*O44*R44/1000000)/2000</f>
        <v>0</v>
      </c>
      <c r="C47" s="67"/>
      <c r="D47" s="70" t="s">
        <v>280</v>
      </c>
      <c r="E47" s="136" t="s">
        <v>69</v>
      </c>
      <c r="F47" s="55">
        <f>B47*(2000/8760)</f>
        <v>0</v>
      </c>
      <c r="G47" s="70" t="s">
        <v>161</v>
      </c>
      <c r="L47" s="70" t="s">
        <v>161</v>
      </c>
      <c r="N47" s="70"/>
      <c r="O47" s="70"/>
      <c r="P47" s="70"/>
      <c r="Q47" s="70"/>
      <c r="R47" s="70"/>
      <c r="S47" s="70"/>
      <c r="T47" s="70"/>
      <c r="U47" s="70"/>
    </row>
    <row r="48" spans="1:21" x14ac:dyDescent="0.25">
      <c r="A48" s="70"/>
      <c r="B48" s="70"/>
      <c r="C48" s="70"/>
      <c r="D48" s="70"/>
      <c r="E48" s="70"/>
      <c r="F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25">
      <c r="A49" s="70"/>
      <c r="B49" s="70"/>
      <c r="C49" s="70"/>
      <c r="D49" s="70"/>
      <c r="E49" s="70"/>
      <c r="F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5.75" x14ac:dyDescent="0.25">
      <c r="A50" s="136" t="s">
        <v>179</v>
      </c>
      <c r="B50" s="164">
        <f>B16</f>
        <v>0</v>
      </c>
      <c r="C50" s="469"/>
      <c r="D50" s="165" t="s">
        <v>171</v>
      </c>
      <c r="E50" s="140">
        <v>0.13800000000000001</v>
      </c>
      <c r="F50" s="167" t="s">
        <v>172</v>
      </c>
      <c r="G50" s="896" t="s">
        <v>183</v>
      </c>
      <c r="H50" s="137">
        <f>C9</f>
        <v>3.5700000000000003E-2</v>
      </c>
      <c r="I50" s="169" t="s">
        <v>177</v>
      </c>
      <c r="J50" s="137">
        <v>1</v>
      </c>
      <c r="K50" s="137" t="s">
        <v>72</v>
      </c>
      <c r="L50" s="139" t="s">
        <v>173</v>
      </c>
      <c r="M50" s="473">
        <f>B17</f>
        <v>0</v>
      </c>
      <c r="N50" s="165" t="s">
        <v>175</v>
      </c>
      <c r="O50" s="138">
        <v>1020</v>
      </c>
      <c r="P50" s="165" t="s">
        <v>176</v>
      </c>
      <c r="Q50" s="30" t="s">
        <v>183</v>
      </c>
      <c r="R50" s="137">
        <f>B9</f>
        <v>6.6E-3</v>
      </c>
      <c r="S50" s="169" t="s">
        <v>177</v>
      </c>
      <c r="T50" s="137">
        <v>1</v>
      </c>
      <c r="U50" s="137" t="s">
        <v>72</v>
      </c>
    </row>
    <row r="51" spans="1:21" x14ac:dyDescent="0.25">
      <c r="A51" s="31"/>
      <c r="B51" s="30"/>
      <c r="C51" s="31"/>
      <c r="D51" s="166" t="s">
        <v>279</v>
      </c>
      <c r="E51" s="31"/>
      <c r="F51" s="63" t="s">
        <v>71</v>
      </c>
      <c r="G51" s="896"/>
      <c r="H51" s="70"/>
      <c r="I51" s="170" t="s">
        <v>119</v>
      </c>
      <c r="J51" s="171">
        <v>2000</v>
      </c>
      <c r="K51" s="70" t="s">
        <v>118</v>
      </c>
      <c r="L51" s="31"/>
      <c r="M51" s="31"/>
      <c r="N51" s="166" t="s">
        <v>279</v>
      </c>
      <c r="O51" s="476">
        <v>1000000</v>
      </c>
      <c r="P51" s="166" t="s">
        <v>31</v>
      </c>
      <c r="Q51" s="30"/>
      <c r="R51" s="70"/>
      <c r="S51" s="170" t="s">
        <v>119</v>
      </c>
      <c r="T51" s="171">
        <v>2000</v>
      </c>
      <c r="U51" s="70" t="s">
        <v>118</v>
      </c>
    </row>
    <row r="52" spans="1:21" x14ac:dyDescent="0.25">
      <c r="A52" s="70"/>
      <c r="B52" s="70"/>
      <c r="C52" s="70"/>
      <c r="D52" s="70"/>
      <c r="E52" s="70"/>
      <c r="F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25">
      <c r="A53" s="136"/>
      <c r="B53" s="67">
        <f>(B50*E50*H50+M50*O50*R50/1000000)/2000</f>
        <v>0</v>
      </c>
      <c r="C53" s="67"/>
      <c r="D53" s="70" t="s">
        <v>280</v>
      </c>
      <c r="E53" s="136" t="s">
        <v>69</v>
      </c>
      <c r="F53" s="55">
        <f>B53*(2000/8760)</f>
        <v>0</v>
      </c>
      <c r="G53" s="70" t="s">
        <v>161</v>
      </c>
      <c r="L53" s="70" t="s">
        <v>161</v>
      </c>
      <c r="N53" s="70"/>
      <c r="O53" s="70"/>
      <c r="P53" s="70"/>
      <c r="Q53" s="70"/>
      <c r="R53" s="70"/>
      <c r="S53" s="70"/>
      <c r="T53" s="70"/>
      <c r="U53" s="70"/>
    </row>
    <row r="54" spans="1:21" x14ac:dyDescent="0.25">
      <c r="A54" s="70"/>
      <c r="B54" s="70"/>
      <c r="C54" s="70"/>
      <c r="D54" s="70"/>
      <c r="E54" s="70"/>
      <c r="F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25">
      <c r="A55" s="70"/>
      <c r="B55" s="70"/>
      <c r="C55" s="70"/>
      <c r="D55" s="70"/>
      <c r="E55" s="70"/>
      <c r="F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ht="15.75" x14ac:dyDescent="0.25">
      <c r="A56" s="136" t="s">
        <v>180</v>
      </c>
      <c r="B56" s="164">
        <f>B16</f>
        <v>0</v>
      </c>
      <c r="C56" s="469"/>
      <c r="D56" s="165" t="s">
        <v>171</v>
      </c>
      <c r="E56" s="140">
        <v>0.13800000000000001</v>
      </c>
      <c r="F56" s="167" t="s">
        <v>172</v>
      </c>
      <c r="G56" s="896" t="s">
        <v>183</v>
      </c>
      <c r="H56" s="137">
        <f>1.01*B18</f>
        <v>7.4739999999999995E-4</v>
      </c>
      <c r="I56" s="169" t="s">
        <v>177</v>
      </c>
      <c r="J56" s="137">
        <v>1</v>
      </c>
      <c r="K56" s="137" t="s">
        <v>72</v>
      </c>
      <c r="L56" s="139" t="s">
        <v>173</v>
      </c>
      <c r="M56" s="473">
        <f>B17</f>
        <v>0</v>
      </c>
      <c r="N56" s="165" t="s">
        <v>175</v>
      </c>
      <c r="O56" s="138">
        <v>1020</v>
      </c>
      <c r="P56" s="165" t="s">
        <v>176</v>
      </c>
      <c r="Q56" s="30" t="s">
        <v>183</v>
      </c>
      <c r="R56" s="137">
        <f>B10</f>
        <v>2.8E-3</v>
      </c>
      <c r="S56" s="169" t="s">
        <v>177</v>
      </c>
      <c r="T56" s="137">
        <v>1</v>
      </c>
      <c r="U56" s="137" t="s">
        <v>72</v>
      </c>
    </row>
    <row r="57" spans="1:21" x14ac:dyDescent="0.25">
      <c r="A57" s="31"/>
      <c r="B57" s="30"/>
      <c r="C57" s="31"/>
      <c r="D57" s="166" t="s">
        <v>279</v>
      </c>
      <c r="E57" s="31"/>
      <c r="F57" s="63" t="s">
        <v>71</v>
      </c>
      <c r="G57" s="896"/>
      <c r="H57" s="70"/>
      <c r="I57" s="170" t="s">
        <v>119</v>
      </c>
      <c r="J57" s="171">
        <v>2000</v>
      </c>
      <c r="K57" s="70" t="s">
        <v>118</v>
      </c>
      <c r="L57" s="31"/>
      <c r="M57" s="31"/>
      <c r="N57" s="166" t="s">
        <v>279</v>
      </c>
      <c r="O57" s="476">
        <v>1000000</v>
      </c>
      <c r="P57" s="166" t="s">
        <v>31</v>
      </c>
      <c r="Q57" s="30"/>
      <c r="R57" s="70"/>
      <c r="S57" s="170" t="s">
        <v>119</v>
      </c>
      <c r="T57" s="171">
        <v>2000</v>
      </c>
      <c r="U57" s="70" t="s">
        <v>118</v>
      </c>
    </row>
    <row r="58" spans="1:21" x14ac:dyDescent="0.25">
      <c r="A58" s="70"/>
      <c r="B58" s="70"/>
      <c r="C58" s="70"/>
      <c r="D58" s="70"/>
      <c r="E58" s="70"/>
      <c r="F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25">
      <c r="A59" s="136"/>
      <c r="B59" s="67">
        <f>(B56*E56*H56+M56*O56*R56/1000000)/2000</f>
        <v>0</v>
      </c>
      <c r="C59" s="67"/>
      <c r="D59" s="70" t="s">
        <v>280</v>
      </c>
      <c r="E59" s="136" t="s">
        <v>69</v>
      </c>
      <c r="F59" s="55">
        <f>B59*(2000/8760)</f>
        <v>0</v>
      </c>
      <c r="G59" s="70" t="s">
        <v>161</v>
      </c>
      <c r="L59" s="70" t="s">
        <v>161</v>
      </c>
      <c r="N59" s="70"/>
      <c r="O59" s="70"/>
      <c r="P59" s="70"/>
      <c r="Q59" s="70"/>
      <c r="R59" s="70"/>
      <c r="S59" s="70"/>
      <c r="T59" s="70"/>
      <c r="U59" s="70"/>
    </row>
    <row r="60" spans="1:21" x14ac:dyDescent="0.25">
      <c r="A60" s="70"/>
      <c r="B60" s="70"/>
      <c r="C60" s="70"/>
      <c r="D60" s="70"/>
      <c r="E60" s="70"/>
      <c r="F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25">
      <c r="A61" s="70"/>
      <c r="B61" s="70"/>
      <c r="C61" s="70"/>
      <c r="D61" s="70"/>
      <c r="E61" s="70"/>
      <c r="F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ht="15.75" x14ac:dyDescent="0.25">
      <c r="A62" s="136" t="s">
        <v>181</v>
      </c>
      <c r="B62" s="164">
        <f>B16</f>
        <v>0</v>
      </c>
      <c r="C62" s="469"/>
      <c r="D62" s="165" t="s">
        <v>171</v>
      </c>
      <c r="E62" s="140">
        <v>0.13800000000000001</v>
      </c>
      <c r="F62" s="167" t="s">
        <v>172</v>
      </c>
      <c r="G62" s="896" t="s">
        <v>183</v>
      </c>
      <c r="H62" s="137">
        <f>C11</f>
        <v>7.7000000000000002E-3</v>
      </c>
      <c r="I62" s="169" t="s">
        <v>177</v>
      </c>
      <c r="J62" s="137">
        <v>1</v>
      </c>
      <c r="K62" s="137" t="s">
        <v>72</v>
      </c>
      <c r="L62" s="139" t="s">
        <v>173</v>
      </c>
      <c r="M62" s="473">
        <f>B17</f>
        <v>0</v>
      </c>
      <c r="N62" s="165" t="s">
        <v>175</v>
      </c>
      <c r="O62" s="138">
        <v>1020</v>
      </c>
      <c r="P62" s="165" t="s">
        <v>176</v>
      </c>
      <c r="Q62" s="30" t="s">
        <v>183</v>
      </c>
      <c r="R62" s="137">
        <f>B11</f>
        <v>4.2999999999999999E-4</v>
      </c>
      <c r="S62" s="169" t="s">
        <v>177</v>
      </c>
      <c r="T62" s="137">
        <v>1</v>
      </c>
      <c r="U62" s="137" t="s">
        <v>72</v>
      </c>
    </row>
    <row r="63" spans="1:21" x14ac:dyDescent="0.25">
      <c r="A63" s="31"/>
      <c r="B63" s="30"/>
      <c r="C63" s="31"/>
      <c r="D63" s="166" t="s">
        <v>279</v>
      </c>
      <c r="E63" s="31"/>
      <c r="F63" s="63" t="s">
        <v>71</v>
      </c>
      <c r="G63" s="896"/>
      <c r="H63" s="70"/>
      <c r="I63" s="170" t="s">
        <v>119</v>
      </c>
      <c r="J63" s="171">
        <v>2000</v>
      </c>
      <c r="K63" s="70" t="s">
        <v>118</v>
      </c>
      <c r="L63" s="31"/>
      <c r="M63" s="31"/>
      <c r="N63" s="166" t="s">
        <v>279</v>
      </c>
      <c r="O63" s="476">
        <v>1000000</v>
      </c>
      <c r="P63" s="166" t="s">
        <v>31</v>
      </c>
      <c r="Q63" s="30"/>
      <c r="R63" s="70"/>
      <c r="S63" s="170" t="s">
        <v>119</v>
      </c>
      <c r="T63" s="171">
        <v>2000</v>
      </c>
      <c r="U63" s="70" t="s">
        <v>118</v>
      </c>
    </row>
    <row r="64" spans="1:21" x14ac:dyDescent="0.25">
      <c r="A64" s="70"/>
      <c r="B64" s="70"/>
      <c r="C64" s="70"/>
      <c r="D64" s="70"/>
      <c r="E64" s="70"/>
      <c r="F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x14ac:dyDescent="0.25">
      <c r="A65" s="136"/>
      <c r="B65" s="67">
        <f>(B62*E62*H62+M62*O62*R62/1000000)/2000</f>
        <v>0</v>
      </c>
      <c r="C65" s="67"/>
      <c r="D65" s="70" t="s">
        <v>280</v>
      </c>
      <c r="E65" s="136" t="s">
        <v>69</v>
      </c>
      <c r="F65" s="55">
        <f>B65*(2000/8760)</f>
        <v>0</v>
      </c>
      <c r="G65" s="70" t="s">
        <v>161</v>
      </c>
      <c r="L65" s="70" t="s">
        <v>161</v>
      </c>
      <c r="N65" s="70"/>
      <c r="O65" s="70"/>
      <c r="P65" s="70"/>
      <c r="Q65" s="70"/>
      <c r="R65" s="70"/>
      <c r="S65" s="70"/>
      <c r="T65" s="70"/>
      <c r="U65" s="70"/>
    </row>
    <row r="66" spans="1:21" x14ac:dyDescent="0.25">
      <c r="A66" s="70"/>
      <c r="B66" s="70"/>
      <c r="C66" s="70"/>
      <c r="D66" s="70"/>
      <c r="E66" s="70"/>
      <c r="F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x14ac:dyDescent="0.25">
      <c r="A67" s="70"/>
      <c r="B67" s="70"/>
      <c r="C67" s="70"/>
      <c r="D67" s="70"/>
      <c r="E67" s="70"/>
      <c r="F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x14ac:dyDescent="0.25">
      <c r="A68" s="136" t="s">
        <v>165</v>
      </c>
      <c r="B68" s="164">
        <f>B16</f>
        <v>0</v>
      </c>
      <c r="C68" s="469"/>
      <c r="D68" s="165" t="s">
        <v>171</v>
      </c>
      <c r="E68" s="140">
        <v>0.13800000000000001</v>
      </c>
      <c r="F68" s="167" t="s">
        <v>172</v>
      </c>
      <c r="G68" s="896" t="s">
        <v>183</v>
      </c>
      <c r="H68" s="477">
        <f>C12</f>
        <v>9.0000000000000002E-6</v>
      </c>
      <c r="I68" s="169" t="s">
        <v>177</v>
      </c>
      <c r="J68" s="137">
        <v>1</v>
      </c>
      <c r="K68" s="137" t="s">
        <v>72</v>
      </c>
      <c r="L68" s="139" t="s">
        <v>173</v>
      </c>
      <c r="M68" s="473">
        <f>B17</f>
        <v>0</v>
      </c>
      <c r="N68" s="165" t="s">
        <v>175</v>
      </c>
      <c r="O68" s="138">
        <v>1020</v>
      </c>
      <c r="P68" s="165" t="s">
        <v>176</v>
      </c>
      <c r="Q68" s="30" t="s">
        <v>183</v>
      </c>
      <c r="R68" s="137">
        <f>B12</f>
        <v>0</v>
      </c>
      <c r="S68" s="169" t="s">
        <v>177</v>
      </c>
      <c r="T68" s="137">
        <v>1</v>
      </c>
      <c r="U68" s="137" t="s">
        <v>72</v>
      </c>
    </row>
    <row r="69" spans="1:21" x14ac:dyDescent="0.25">
      <c r="A69" s="31"/>
      <c r="B69" s="30"/>
      <c r="C69" s="31"/>
      <c r="D69" s="166" t="s">
        <v>279</v>
      </c>
      <c r="E69" s="31"/>
      <c r="F69" s="63" t="s">
        <v>71</v>
      </c>
      <c r="G69" s="896"/>
      <c r="H69" s="70"/>
      <c r="I69" s="170" t="s">
        <v>119</v>
      </c>
      <c r="J69" s="171">
        <v>2000</v>
      </c>
      <c r="K69" s="70" t="s">
        <v>118</v>
      </c>
      <c r="L69" s="31"/>
      <c r="M69" s="31"/>
      <c r="N69" s="166" t="s">
        <v>279</v>
      </c>
      <c r="O69" s="476">
        <v>1000000</v>
      </c>
      <c r="P69" s="166" t="s">
        <v>31</v>
      </c>
      <c r="Q69" s="30"/>
      <c r="R69" s="70"/>
      <c r="S69" s="170" t="s">
        <v>119</v>
      </c>
      <c r="T69" s="171">
        <v>2000</v>
      </c>
      <c r="U69" s="70" t="s">
        <v>118</v>
      </c>
    </row>
    <row r="70" spans="1:2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21" x14ac:dyDescent="0.25">
      <c r="A71" s="136"/>
      <c r="B71" s="67">
        <f>(B68*E68*H68+M68*O68*R68/1000000)/2000</f>
        <v>0</v>
      </c>
      <c r="C71" s="67"/>
      <c r="D71" s="70" t="s">
        <v>280</v>
      </c>
      <c r="E71" s="136" t="s">
        <v>69</v>
      </c>
      <c r="F71" s="55">
        <f>B71*(2000/8760)</f>
        <v>0</v>
      </c>
      <c r="G71" s="70" t="s">
        <v>161</v>
      </c>
      <c r="I71" s="70"/>
      <c r="J71" s="70"/>
      <c r="K71" s="70"/>
      <c r="L71" s="70"/>
      <c r="M71" s="70"/>
      <c r="N71" s="70"/>
      <c r="O71" s="70"/>
      <c r="P71" s="70"/>
    </row>
    <row r="74" spans="1:21" x14ac:dyDescent="0.25">
      <c r="A74" s="502" t="s">
        <v>332</v>
      </c>
      <c r="B74" s="164">
        <f>B16</f>
        <v>0</v>
      </c>
      <c r="C74" s="469"/>
      <c r="D74" s="165" t="s">
        <v>171</v>
      </c>
      <c r="E74" s="503">
        <f>W11</f>
        <v>22.578420600240001</v>
      </c>
      <c r="F74" s="504" t="s">
        <v>118</v>
      </c>
      <c r="G74" s="896" t="s">
        <v>183</v>
      </c>
      <c r="H74" s="137">
        <v>1</v>
      </c>
      <c r="I74" s="137" t="s">
        <v>72</v>
      </c>
      <c r="J74" s="139" t="s">
        <v>173</v>
      </c>
      <c r="M74" s="473">
        <f>B17</f>
        <v>0</v>
      </c>
      <c r="N74" s="165" t="s">
        <v>175</v>
      </c>
      <c r="O74" s="506">
        <f>W12</f>
        <v>0.12049378638965323</v>
      </c>
      <c r="P74" s="507" t="s">
        <v>118</v>
      </c>
      <c r="Q74" s="30" t="s">
        <v>183</v>
      </c>
      <c r="R74" s="137">
        <v>1</v>
      </c>
      <c r="S74" s="137" t="s">
        <v>72</v>
      </c>
    </row>
    <row r="75" spans="1:21" x14ac:dyDescent="0.25">
      <c r="A75" s="31"/>
      <c r="B75" s="30"/>
      <c r="C75" s="31"/>
      <c r="D75" s="166" t="s">
        <v>279</v>
      </c>
      <c r="E75" s="31"/>
      <c r="F75" s="505" t="s">
        <v>71</v>
      </c>
      <c r="G75" s="896"/>
      <c r="H75" s="171">
        <v>2000</v>
      </c>
      <c r="I75" s="70" t="s">
        <v>118</v>
      </c>
      <c r="J75" s="31"/>
      <c r="M75" s="31"/>
      <c r="N75" s="166" t="s">
        <v>279</v>
      </c>
      <c r="O75" s="476"/>
      <c r="P75" s="166" t="s">
        <v>31</v>
      </c>
      <c r="Q75" s="30"/>
      <c r="R75" s="171">
        <v>2000</v>
      </c>
      <c r="S75" s="70" t="s">
        <v>118</v>
      </c>
    </row>
    <row r="76" spans="1:21" x14ac:dyDescent="0.25">
      <c r="A76" s="70"/>
      <c r="B76" s="70"/>
      <c r="C76" s="70"/>
      <c r="D76" s="70"/>
      <c r="E76" s="70"/>
      <c r="F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 x14ac:dyDescent="0.25">
      <c r="A77" s="136"/>
      <c r="B77" s="67">
        <f>(B74*E74+M74*O74)/H75</f>
        <v>0</v>
      </c>
      <c r="C77" s="67"/>
      <c r="D77" s="70" t="s">
        <v>280</v>
      </c>
      <c r="E77" s="136" t="s">
        <v>69</v>
      </c>
      <c r="F77" s="55">
        <f>B77*(2000/8760)</f>
        <v>0</v>
      </c>
      <c r="G77" s="70" t="s">
        <v>161</v>
      </c>
      <c r="L77" s="70"/>
      <c r="N77" s="70"/>
      <c r="O77" s="70"/>
      <c r="P77" s="70"/>
      <c r="Q77" s="70"/>
      <c r="R77" s="70"/>
      <c r="S77" s="70"/>
      <c r="T77" s="70"/>
      <c r="U77" s="70"/>
    </row>
    <row r="78" spans="1:21" x14ac:dyDescent="0.25">
      <c r="A78" s="70"/>
      <c r="B78" s="70"/>
      <c r="C78" s="70"/>
      <c r="D78" s="70"/>
      <c r="E78" s="70"/>
      <c r="F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 x14ac:dyDescent="0.25">
      <c r="A79" s="70"/>
      <c r="B79" s="70"/>
      <c r="C79" s="70"/>
      <c r="D79" s="70"/>
      <c r="E79" s="70"/>
      <c r="F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x14ac:dyDescent="0.25">
      <c r="A80" s="24"/>
      <c r="B80" s="62" t="s">
        <v>166</v>
      </c>
      <c r="C80" s="62"/>
      <c r="D80" s="62"/>
      <c r="E80" s="62"/>
      <c r="F80" s="62"/>
      <c r="G80" s="62"/>
      <c r="H80" s="62"/>
      <c r="I80" s="62"/>
      <c r="J80" s="62"/>
      <c r="K80" s="24"/>
      <c r="L80" s="24"/>
      <c r="M80" s="24"/>
      <c r="N80" s="24"/>
      <c r="O80" s="24"/>
      <c r="P80" s="24"/>
    </row>
    <row r="81" spans="2:10" x14ac:dyDescent="0.25">
      <c r="B81" s="62" t="s">
        <v>167</v>
      </c>
      <c r="C81" s="62"/>
      <c r="D81" s="62"/>
      <c r="E81" s="62"/>
      <c r="F81" s="62"/>
      <c r="G81" s="62"/>
      <c r="H81" s="62"/>
      <c r="I81" s="62"/>
      <c r="J81" s="62"/>
    </row>
    <row r="82" spans="2:10" x14ac:dyDescent="0.25">
      <c r="B82" s="62" t="s">
        <v>168</v>
      </c>
      <c r="C82" s="62"/>
      <c r="D82" s="62"/>
      <c r="E82" s="62"/>
      <c r="F82" s="62"/>
      <c r="G82" s="62"/>
      <c r="H82" s="62"/>
      <c r="I82" s="62"/>
      <c r="J82" s="62"/>
    </row>
    <row r="83" spans="2:10" x14ac:dyDescent="0.25">
      <c r="B83" s="62" t="s">
        <v>287</v>
      </c>
      <c r="C83" s="62"/>
      <c r="D83" s="24"/>
      <c r="E83" s="24"/>
      <c r="F83" s="24"/>
      <c r="G83" s="24"/>
      <c r="H83" s="24"/>
      <c r="I83" s="24"/>
      <c r="J83" s="24"/>
    </row>
  </sheetData>
  <mergeCells count="13">
    <mergeCell ref="Q20:Q21"/>
    <mergeCell ref="G26:G27"/>
    <mergeCell ref="G32:G33"/>
    <mergeCell ref="G38:G39"/>
    <mergeCell ref="G44:G45"/>
    <mergeCell ref="G74:G75"/>
    <mergeCell ref="G68:G69"/>
    <mergeCell ref="A1:P1"/>
    <mergeCell ref="F6:N6"/>
    <mergeCell ref="G20:G21"/>
    <mergeCell ref="G50:G51"/>
    <mergeCell ref="G56:G57"/>
    <mergeCell ref="G62:G63"/>
  </mergeCells>
  <pageMargins left="0.7" right="0.7" top="0.75" bottom="0.75" header="0.3" footer="0.3"/>
  <pageSetup scale="75" fitToWidth="0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3:G32"/>
  <sheetViews>
    <sheetView workbookViewId="0">
      <selection activeCell="F9" sqref="F9"/>
    </sheetView>
  </sheetViews>
  <sheetFormatPr defaultRowHeight="15" x14ac:dyDescent="0.25"/>
  <cols>
    <col min="1" max="1" width="17.140625" customWidth="1"/>
    <col min="2" max="2" width="15.42578125" customWidth="1"/>
    <col min="3" max="3" width="21.5703125" customWidth="1"/>
    <col min="4" max="4" width="21.42578125" customWidth="1"/>
  </cols>
  <sheetData>
    <row r="3" spans="1:7" ht="15.75" x14ac:dyDescent="0.25">
      <c r="A3" s="926" t="s">
        <v>94</v>
      </c>
      <c r="B3" s="926"/>
      <c r="C3" s="926"/>
      <c r="D3" s="926"/>
    </row>
    <row r="4" spans="1:7" ht="15.75" x14ac:dyDescent="0.25">
      <c r="A4" s="75"/>
      <c r="B4" s="1"/>
      <c r="C4" s="1"/>
      <c r="D4" s="1"/>
    </row>
    <row r="5" spans="1:7" x14ac:dyDescent="0.25">
      <c r="A5" s="927" t="s">
        <v>95</v>
      </c>
      <c r="B5" s="927"/>
      <c r="C5" s="927"/>
      <c r="D5" s="927"/>
    </row>
    <row r="6" spans="1:7" x14ac:dyDescent="0.25">
      <c r="A6" s="927" t="s">
        <v>138</v>
      </c>
      <c r="B6" s="927"/>
      <c r="C6" s="927"/>
      <c r="D6" s="927"/>
    </row>
    <row r="7" spans="1:7" x14ac:dyDescent="0.25">
      <c r="A7" s="927" t="s">
        <v>365</v>
      </c>
      <c r="B7" s="927"/>
      <c r="C7" s="927"/>
      <c r="D7" s="927"/>
    </row>
    <row r="8" spans="1:7" x14ac:dyDescent="0.25">
      <c r="A8" s="2"/>
      <c r="B8" s="2"/>
      <c r="C8" s="2"/>
      <c r="D8" s="2"/>
    </row>
    <row r="9" spans="1:7" x14ac:dyDescent="0.25">
      <c r="A9" s="928" t="s">
        <v>397</v>
      </c>
      <c r="B9" s="928"/>
      <c r="C9" s="928"/>
      <c r="D9" s="928"/>
    </row>
    <row r="10" spans="1:7" ht="16.5" thickBot="1" x14ac:dyDescent="0.3">
      <c r="A10" s="76"/>
      <c r="B10" s="1"/>
      <c r="C10" s="1"/>
      <c r="D10" s="1"/>
    </row>
    <row r="11" spans="1:7" ht="15.75" thickTop="1" x14ac:dyDescent="0.25">
      <c r="A11" s="922" t="s">
        <v>139</v>
      </c>
      <c r="B11" s="923"/>
      <c r="C11" s="79" t="s">
        <v>140</v>
      </c>
      <c r="D11" s="80" t="s">
        <v>98</v>
      </c>
    </row>
    <row r="12" spans="1:7" ht="15.75" thickBot="1" x14ac:dyDescent="0.3">
      <c r="A12" s="924"/>
      <c r="B12" s="925"/>
      <c r="C12" s="81" t="s">
        <v>284</v>
      </c>
      <c r="D12" s="82" t="s">
        <v>282</v>
      </c>
    </row>
    <row r="13" spans="1:7" ht="16.5" thickTop="1" x14ac:dyDescent="0.25">
      <c r="A13" s="920" t="s">
        <v>54</v>
      </c>
      <c r="B13" s="921"/>
      <c r="C13" s="83">
        <v>2946.22</v>
      </c>
      <c r="D13" s="86">
        <f>'Cálculos SJ'!B34+'Cálculos SJ5'!B41+'Cálculos SJ6'!B41</f>
        <v>9.0407409144955189</v>
      </c>
      <c r="G13">
        <v>0</v>
      </c>
    </row>
    <row r="14" spans="1:7" ht="18.75" x14ac:dyDescent="0.35">
      <c r="A14" s="919" t="s">
        <v>142</v>
      </c>
      <c r="B14" s="919"/>
      <c r="C14" s="83">
        <v>1430.51</v>
      </c>
      <c r="D14" s="86">
        <f>'Cálculos SJ'!B26+'Cálculos SJ5'!B47+'Cálculos SJ6'!B47</f>
        <v>10.954618568057519</v>
      </c>
    </row>
    <row r="15" spans="1:7" ht="18.75" x14ac:dyDescent="0.35">
      <c r="A15" s="919" t="s">
        <v>134</v>
      </c>
      <c r="B15" s="919"/>
      <c r="C15" s="83">
        <v>7619.76</v>
      </c>
      <c r="D15" s="86">
        <f>'Cálculos SJ'!B51+'Cálculos SJ5'!B59+'Cálculos SJ6'!B59</f>
        <v>89.042530637663305</v>
      </c>
    </row>
    <row r="16" spans="1:7" ht="18.75" x14ac:dyDescent="0.35">
      <c r="A16" s="919" t="s">
        <v>137</v>
      </c>
      <c r="B16" s="919"/>
      <c r="C16" s="84">
        <v>6739.2</v>
      </c>
      <c r="D16" s="87">
        <f>'Cálculos SJ'!B60+'Cálculos SJ'!B68+'Cálculos SJ5'!B23+'Cálculos SJ6'!B23</f>
        <v>83.195873728015528</v>
      </c>
    </row>
    <row r="17" spans="1:4" ht="18.75" x14ac:dyDescent="0.25">
      <c r="A17" s="919" t="s">
        <v>145</v>
      </c>
      <c r="B17" s="919"/>
      <c r="C17" s="84">
        <v>1654.73</v>
      </c>
      <c r="D17" s="87">
        <f>'Cálculos SJ'!B84+'Cálculos SJ5'!B29+'Cálculos SJ6'!B29</f>
        <v>16.61041895774262</v>
      </c>
    </row>
    <row r="18" spans="1:4" ht="15.75" x14ac:dyDescent="0.25">
      <c r="A18" s="919" t="s">
        <v>59</v>
      </c>
      <c r="B18" s="919"/>
      <c r="C18" s="83">
        <v>190.7</v>
      </c>
      <c r="D18" s="86">
        <f>'Cálculos SJ'!B76+'Cálculos SJ5'!B35+'Cálculos SJ6'!B35</f>
        <v>2.08661091102912</v>
      </c>
    </row>
    <row r="19" spans="1:4" ht="18.75" x14ac:dyDescent="0.25">
      <c r="A19" s="919" t="s">
        <v>146</v>
      </c>
      <c r="B19" s="919"/>
      <c r="C19" s="85">
        <v>3.54</v>
      </c>
      <c r="D19" s="86">
        <f>'Cálculos SJ'!B92+'Cálculos SJ5'!B71+'Cálculos SJ6'!B71</f>
        <v>1.9704416415600003E-3</v>
      </c>
    </row>
    <row r="20" spans="1:4" ht="18.75" x14ac:dyDescent="0.25">
      <c r="A20" s="912" t="s">
        <v>311</v>
      </c>
      <c r="B20" s="912"/>
      <c r="C20" s="127"/>
      <c r="D20" s="133">
        <f>'Cálculos SJ'!B101+'Cálculos SJ5'!B77+'Cálculos SJ6'!B77</f>
        <v>88849.305321668508</v>
      </c>
    </row>
    <row r="21" spans="1:4" ht="15.75" x14ac:dyDescent="0.25">
      <c r="A21" s="76"/>
      <c r="B21" s="1"/>
      <c r="C21" s="1"/>
      <c r="D21" s="1"/>
    </row>
    <row r="22" spans="1:4" ht="15.75" x14ac:dyDescent="0.25">
      <c r="A22" s="76" t="s">
        <v>103</v>
      </c>
      <c r="B22" s="1"/>
      <c r="C22" s="1"/>
      <c r="D22" s="1"/>
    </row>
    <row r="23" spans="1:4" ht="15.75" x14ac:dyDescent="0.25">
      <c r="A23" s="76" t="s">
        <v>104</v>
      </c>
      <c r="B23" s="1"/>
      <c r="C23" s="1"/>
      <c r="D23" s="1"/>
    </row>
    <row r="24" spans="1:4" ht="15.75" x14ac:dyDescent="0.25">
      <c r="A24" s="76" t="s">
        <v>105</v>
      </c>
      <c r="B24" s="1"/>
      <c r="C24" s="1"/>
      <c r="D24" s="1"/>
    </row>
    <row r="25" spans="1:4" ht="15.75" x14ac:dyDescent="0.25">
      <c r="A25" s="76" t="s">
        <v>106</v>
      </c>
      <c r="B25" s="1"/>
      <c r="C25" s="1"/>
      <c r="D25" s="1"/>
    </row>
    <row r="27" spans="1:4" ht="15.75" x14ac:dyDescent="0.25">
      <c r="A27" s="51" t="s">
        <v>107</v>
      </c>
    </row>
    <row r="28" spans="1:4" ht="15.75" x14ac:dyDescent="0.25">
      <c r="A28" s="51"/>
    </row>
    <row r="29" spans="1:4" ht="15.75" x14ac:dyDescent="0.25">
      <c r="A29" s="51" t="s">
        <v>108</v>
      </c>
    </row>
    <row r="30" spans="1:4" ht="15.75" x14ac:dyDescent="0.25">
      <c r="A30" s="51" t="s">
        <v>109</v>
      </c>
    </row>
    <row r="32" spans="1:4" ht="15.75" x14ac:dyDescent="0.25">
      <c r="A32" s="51" t="s">
        <v>312</v>
      </c>
    </row>
  </sheetData>
  <mergeCells count="14">
    <mergeCell ref="A11:B12"/>
    <mergeCell ref="A3:D3"/>
    <mergeCell ref="A5:D5"/>
    <mergeCell ref="A6:D6"/>
    <mergeCell ref="A7:D7"/>
    <mergeCell ref="A9:D9"/>
    <mergeCell ref="A20:B20"/>
    <mergeCell ref="A18:B18"/>
    <mergeCell ref="A19:B19"/>
    <mergeCell ref="A13:B13"/>
    <mergeCell ref="A14:B14"/>
    <mergeCell ref="A15:B15"/>
    <mergeCell ref="A16:B16"/>
    <mergeCell ref="A17:B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C56"/>
  <sheetViews>
    <sheetView zoomScaleNormal="100" workbookViewId="0">
      <selection activeCell="A2" sqref="A2:F2"/>
    </sheetView>
  </sheetViews>
  <sheetFormatPr defaultColWidth="8.85546875" defaultRowHeight="15" x14ac:dyDescent="0.25"/>
  <cols>
    <col min="1" max="1" width="10.5703125" style="327" customWidth="1"/>
    <col min="2" max="2" width="14.5703125" style="327" customWidth="1"/>
    <col min="3" max="3" width="14.42578125" style="327" customWidth="1"/>
    <col min="4" max="4" width="17.5703125" style="327" customWidth="1"/>
    <col min="5" max="5" width="16.28515625" style="327" customWidth="1"/>
    <col min="6" max="6" width="18.28515625" style="327" customWidth="1"/>
    <col min="7" max="7" width="9.42578125" style="327" bestFit="1" customWidth="1"/>
    <col min="8" max="8" width="14.28515625" style="327" customWidth="1"/>
    <col min="9" max="9" width="13.140625" style="327" customWidth="1"/>
    <col min="10" max="10" width="12.85546875" style="327" customWidth="1"/>
    <col min="11" max="16384" width="8.85546875" style="327"/>
  </cols>
  <sheetData>
    <row r="1" spans="1:21" ht="15.75" thickBot="1" x14ac:dyDescent="0.3"/>
    <row r="2" spans="1:21" ht="15.75" thickBot="1" x14ac:dyDescent="0.3">
      <c r="A2" s="880" t="s">
        <v>430</v>
      </c>
      <c r="B2" s="881"/>
      <c r="C2" s="881"/>
      <c r="D2" s="881"/>
      <c r="E2" s="881"/>
      <c r="F2" s="882"/>
      <c r="H2" s="915" t="s">
        <v>80</v>
      </c>
      <c r="I2" s="936"/>
    </row>
    <row r="3" spans="1:21" ht="15.75" thickBot="1" x14ac:dyDescent="0.3">
      <c r="A3" s="932" t="s">
        <v>5</v>
      </c>
      <c r="B3" s="881" t="s">
        <v>30</v>
      </c>
      <c r="C3" s="882"/>
      <c r="D3" s="930" t="s">
        <v>79</v>
      </c>
      <c r="E3" s="931"/>
      <c r="F3" s="934" t="s">
        <v>285</v>
      </c>
      <c r="H3" s="916"/>
      <c r="I3" s="937"/>
    </row>
    <row r="4" spans="1:21" ht="15.75" thickBot="1" x14ac:dyDescent="0.3">
      <c r="A4" s="933"/>
      <c r="B4" s="334" t="s">
        <v>10</v>
      </c>
      <c r="C4" s="393" t="s">
        <v>11</v>
      </c>
      <c r="D4" s="394" t="s">
        <v>10</v>
      </c>
      <c r="E4" s="393" t="s">
        <v>11</v>
      </c>
      <c r="F4" s="935"/>
      <c r="H4" s="332" t="s">
        <v>10</v>
      </c>
      <c r="I4" s="332" t="s">
        <v>11</v>
      </c>
      <c r="T4" s="377"/>
      <c r="U4" s="377"/>
    </row>
    <row r="5" spans="1:21" ht="15.75" thickBot="1" x14ac:dyDescent="0.3">
      <c r="A5" s="696">
        <v>46023</v>
      </c>
      <c r="B5" s="595"/>
      <c r="C5" s="596"/>
      <c r="D5" s="597"/>
      <c r="E5" s="598"/>
      <c r="F5" s="607"/>
      <c r="H5" s="610"/>
      <c r="I5" s="611"/>
      <c r="T5" s="395"/>
      <c r="U5" s="395"/>
    </row>
    <row r="6" spans="1:21" x14ac:dyDescent="0.25">
      <c r="A6" s="738">
        <v>46054</v>
      </c>
      <c r="B6" s="702">
        <v>0</v>
      </c>
      <c r="C6" s="703">
        <v>202971.95</v>
      </c>
      <c r="D6" s="704">
        <f>SUM(B6*42)</f>
        <v>0</v>
      </c>
      <c r="E6" s="705">
        <f>SUM(C6*42)</f>
        <v>8524821.9000000004</v>
      </c>
      <c r="F6" s="706">
        <f t="shared" ref="F6:F16" si="0">D6+E6</f>
        <v>8524821.9000000004</v>
      </c>
      <c r="G6" s="707"/>
      <c r="H6" s="708">
        <v>0.46</v>
      </c>
      <c r="I6" s="709">
        <v>0.46</v>
      </c>
      <c r="T6" s="395"/>
      <c r="U6" s="395"/>
    </row>
    <row r="7" spans="1:21" x14ac:dyDescent="0.25">
      <c r="A7" s="697">
        <v>46082</v>
      </c>
      <c r="B7" s="599"/>
      <c r="C7" s="600"/>
      <c r="D7" s="601"/>
      <c r="E7" s="602"/>
      <c r="F7" s="608"/>
      <c r="H7" s="612"/>
      <c r="I7" s="613"/>
      <c r="T7" s="395"/>
      <c r="U7" s="395"/>
    </row>
    <row r="8" spans="1:21" x14ac:dyDescent="0.25">
      <c r="A8" s="697">
        <v>46113</v>
      </c>
      <c r="B8" s="599"/>
      <c r="C8" s="600"/>
      <c r="D8" s="601">
        <f t="shared" ref="D8:D16" si="1">SUM(B8*42)</f>
        <v>0</v>
      </c>
      <c r="E8" s="602">
        <f t="shared" ref="E8:E16" si="2">SUM(C8*42)</f>
        <v>0</v>
      </c>
      <c r="F8" s="608">
        <f t="shared" si="0"/>
        <v>0</v>
      </c>
      <c r="H8" s="612"/>
      <c r="I8" s="613"/>
      <c r="T8" s="395"/>
      <c r="U8" s="395"/>
    </row>
    <row r="9" spans="1:21" x14ac:dyDescent="0.25">
      <c r="A9" s="697">
        <v>46143</v>
      </c>
      <c r="B9" s="599"/>
      <c r="C9" s="600"/>
      <c r="D9" s="601">
        <f t="shared" si="1"/>
        <v>0</v>
      </c>
      <c r="E9" s="602">
        <f t="shared" si="2"/>
        <v>0</v>
      </c>
      <c r="F9" s="608">
        <f t="shared" si="0"/>
        <v>0</v>
      </c>
      <c r="H9" s="612"/>
      <c r="I9" s="614"/>
      <c r="T9" s="395"/>
      <c r="U9" s="395"/>
    </row>
    <row r="10" spans="1:21" x14ac:dyDescent="0.25">
      <c r="A10" s="697">
        <v>46174</v>
      </c>
      <c r="B10" s="599"/>
      <c r="C10" s="600"/>
      <c r="D10" s="601">
        <f t="shared" si="1"/>
        <v>0</v>
      </c>
      <c r="E10" s="602">
        <f t="shared" si="2"/>
        <v>0</v>
      </c>
      <c r="F10" s="608">
        <f t="shared" si="0"/>
        <v>0</v>
      </c>
      <c r="H10" s="612"/>
      <c r="I10" s="614"/>
      <c r="T10" s="395"/>
      <c r="U10" s="387"/>
    </row>
    <row r="11" spans="1:21" x14ac:dyDescent="0.25">
      <c r="A11" s="697">
        <v>46204</v>
      </c>
      <c r="B11" s="599"/>
      <c r="C11" s="600"/>
      <c r="D11" s="601">
        <f t="shared" si="1"/>
        <v>0</v>
      </c>
      <c r="E11" s="602">
        <f t="shared" si="2"/>
        <v>0</v>
      </c>
      <c r="F11" s="608">
        <f t="shared" si="0"/>
        <v>0</v>
      </c>
      <c r="H11" s="615"/>
      <c r="I11" s="616"/>
      <c r="T11" s="387"/>
      <c r="U11" s="387"/>
    </row>
    <row r="12" spans="1:21" x14ac:dyDescent="0.25">
      <c r="A12" s="697">
        <v>46235</v>
      </c>
      <c r="B12" s="599"/>
      <c r="C12" s="600"/>
      <c r="D12" s="601">
        <f t="shared" si="1"/>
        <v>0</v>
      </c>
      <c r="E12" s="602">
        <f t="shared" si="2"/>
        <v>0</v>
      </c>
      <c r="F12" s="608">
        <f t="shared" si="0"/>
        <v>0</v>
      </c>
      <c r="H12" s="612"/>
      <c r="I12" s="617"/>
      <c r="L12" s="396"/>
      <c r="T12" s="387"/>
      <c r="U12" s="387"/>
    </row>
    <row r="13" spans="1:21" x14ac:dyDescent="0.25">
      <c r="A13" s="697">
        <v>46266</v>
      </c>
      <c r="B13" s="599"/>
      <c r="C13" s="600"/>
      <c r="D13" s="601">
        <f t="shared" si="1"/>
        <v>0</v>
      </c>
      <c r="E13" s="602">
        <f t="shared" si="2"/>
        <v>0</v>
      </c>
      <c r="F13" s="608">
        <f t="shared" si="0"/>
        <v>0</v>
      </c>
      <c r="H13" s="612"/>
      <c r="I13" s="617"/>
      <c r="L13" s="396"/>
      <c r="T13" s="387"/>
      <c r="U13" s="387"/>
    </row>
    <row r="14" spans="1:21" x14ac:dyDescent="0.25">
      <c r="A14" s="697">
        <v>46296</v>
      </c>
      <c r="B14" s="599"/>
      <c r="C14" s="600"/>
      <c r="D14" s="601">
        <f t="shared" si="1"/>
        <v>0</v>
      </c>
      <c r="E14" s="602">
        <f t="shared" si="2"/>
        <v>0</v>
      </c>
      <c r="F14" s="608">
        <f t="shared" si="0"/>
        <v>0</v>
      </c>
      <c r="H14" s="612"/>
      <c r="I14" s="617"/>
      <c r="L14" s="396"/>
      <c r="T14" s="387"/>
      <c r="U14" s="387"/>
    </row>
    <row r="15" spans="1:21" x14ac:dyDescent="0.25">
      <c r="A15" s="697">
        <v>46327</v>
      </c>
      <c r="B15" s="599"/>
      <c r="C15" s="600"/>
      <c r="D15" s="601">
        <f t="shared" si="1"/>
        <v>0</v>
      </c>
      <c r="E15" s="602">
        <f t="shared" si="2"/>
        <v>0</v>
      </c>
      <c r="F15" s="608">
        <f t="shared" si="0"/>
        <v>0</v>
      </c>
      <c r="H15" s="612"/>
      <c r="I15" s="617"/>
      <c r="L15" s="396"/>
      <c r="T15" s="387"/>
      <c r="U15" s="372"/>
    </row>
    <row r="16" spans="1:21" ht="15.75" thickBot="1" x14ac:dyDescent="0.3">
      <c r="A16" s="698">
        <v>46357</v>
      </c>
      <c r="B16" s="603"/>
      <c r="C16" s="604"/>
      <c r="D16" s="605">
        <f t="shared" si="1"/>
        <v>0</v>
      </c>
      <c r="E16" s="606">
        <f t="shared" si="2"/>
        <v>0</v>
      </c>
      <c r="F16" s="609">
        <f t="shared" si="0"/>
        <v>0</v>
      </c>
      <c r="H16" s="618"/>
      <c r="I16" s="619"/>
      <c r="L16" s="396"/>
      <c r="T16" s="372"/>
    </row>
    <row r="17" spans="1:29" ht="15.75" thickBot="1" x14ac:dyDescent="0.3">
      <c r="A17" s="332" t="s">
        <v>4</v>
      </c>
      <c r="B17" s="397">
        <f>SUM(B5:B16)</f>
        <v>0</v>
      </c>
      <c r="C17" s="397">
        <f>SUM(C5:C16)</f>
        <v>202971.95</v>
      </c>
      <c r="D17" s="397">
        <f>SUM(D5:D16)</f>
        <v>0</v>
      </c>
      <c r="E17" s="397">
        <f>SUM(E5:E16)</f>
        <v>8524821.9000000004</v>
      </c>
      <c r="F17" s="388">
        <f>D17+E17</f>
        <v>8524821.9000000004</v>
      </c>
      <c r="H17" s="349">
        <f>AVERAGE(H5:H16)</f>
        <v>0.46</v>
      </c>
      <c r="I17" s="349">
        <f>AVERAGE(I5:I16)</f>
        <v>0.46</v>
      </c>
      <c r="J17" s="398" t="s">
        <v>265</v>
      </c>
      <c r="L17" s="368"/>
    </row>
    <row r="18" spans="1:29" ht="15.75" thickBot="1" x14ac:dyDescent="0.3">
      <c r="F18" s="388">
        <f>SUM(F5:F16)</f>
        <v>8524821.9000000004</v>
      </c>
      <c r="H18" s="399"/>
      <c r="I18" s="389"/>
      <c r="J18" s="372"/>
    </row>
    <row r="19" spans="1:29" ht="15.75" thickBot="1" x14ac:dyDescent="0.3"/>
    <row r="20" spans="1:29" ht="15.75" thickBot="1" x14ac:dyDescent="0.3">
      <c r="A20" s="880" t="s">
        <v>429</v>
      </c>
      <c r="B20" s="881"/>
      <c r="C20" s="881"/>
      <c r="D20" s="881"/>
      <c r="E20" s="881"/>
      <c r="F20" s="881"/>
      <c r="G20" s="881"/>
      <c r="H20" s="881"/>
      <c r="I20" s="881"/>
      <c r="J20" s="881"/>
      <c r="K20" s="881"/>
      <c r="L20" s="881"/>
      <c r="M20" s="881"/>
      <c r="N20" s="881"/>
      <c r="O20" s="881"/>
      <c r="P20" s="881"/>
      <c r="Q20" s="881"/>
      <c r="R20" s="882"/>
    </row>
    <row r="21" spans="1:29" ht="15.75" thickBot="1" x14ac:dyDescent="0.3">
      <c r="A21" s="880" t="s">
        <v>79</v>
      </c>
      <c r="B21" s="881"/>
      <c r="C21" s="881"/>
      <c r="D21" s="881"/>
      <c r="E21" s="881"/>
      <c r="F21" s="881"/>
      <c r="G21" s="881"/>
      <c r="H21" s="881"/>
      <c r="I21" s="881"/>
      <c r="J21" s="881"/>
      <c r="K21" s="880" t="s">
        <v>130</v>
      </c>
      <c r="L21" s="881"/>
      <c r="M21" s="881"/>
      <c r="N21" s="881"/>
      <c r="O21" s="881"/>
      <c r="P21" s="881"/>
      <c r="Q21" s="881"/>
      <c r="R21" s="882"/>
      <c r="V21" s="880" t="s">
        <v>266</v>
      </c>
      <c r="W21" s="881"/>
      <c r="X21" s="881"/>
      <c r="Y21" s="881"/>
      <c r="Z21" s="881"/>
      <c r="AA21" s="881"/>
      <c r="AB21" s="881"/>
      <c r="AC21" s="882"/>
    </row>
    <row r="22" spans="1:29" ht="15.75" thickBot="1" x14ac:dyDescent="0.3">
      <c r="A22" s="400" t="s">
        <v>5</v>
      </c>
      <c r="B22" s="401" t="s">
        <v>12</v>
      </c>
      <c r="C22" s="402" t="s">
        <v>13</v>
      </c>
      <c r="D22" s="402" t="s">
        <v>14</v>
      </c>
      <c r="E22" s="402" t="s">
        <v>15</v>
      </c>
      <c r="F22" s="403" t="s">
        <v>16</v>
      </c>
      <c r="G22" s="333"/>
      <c r="H22" s="334" t="s">
        <v>17</v>
      </c>
      <c r="I22" s="404" t="s">
        <v>18</v>
      </c>
      <c r="J22" s="335" t="s">
        <v>19</v>
      </c>
      <c r="K22" s="392" t="s">
        <v>12</v>
      </c>
      <c r="L22" s="404" t="s">
        <v>13</v>
      </c>
      <c r="M22" s="404" t="s">
        <v>14</v>
      </c>
      <c r="N22" s="404" t="s">
        <v>15</v>
      </c>
      <c r="O22" s="404" t="s">
        <v>16</v>
      </c>
      <c r="P22" s="404" t="s">
        <v>17</v>
      </c>
      <c r="Q22" s="404" t="s">
        <v>18</v>
      </c>
      <c r="R22" s="337" t="s">
        <v>19</v>
      </c>
      <c r="V22" s="392" t="s">
        <v>12</v>
      </c>
      <c r="W22" s="404" t="s">
        <v>13</v>
      </c>
      <c r="X22" s="404" t="s">
        <v>14</v>
      </c>
      <c r="Y22" s="404" t="s">
        <v>15</v>
      </c>
      <c r="Z22" s="404" t="s">
        <v>16</v>
      </c>
      <c r="AA22" s="404" t="s">
        <v>17</v>
      </c>
      <c r="AB22" s="404" t="s">
        <v>18</v>
      </c>
      <c r="AC22" s="337" t="s">
        <v>19</v>
      </c>
    </row>
    <row r="23" spans="1:29" x14ac:dyDescent="0.25">
      <c r="A23" s="696">
        <v>46023</v>
      </c>
      <c r="B23" s="620"/>
      <c r="C23" s="621"/>
      <c r="D23" s="621"/>
      <c r="E23" s="621">
        <v>0</v>
      </c>
      <c r="F23" s="622">
        <v>0</v>
      </c>
      <c r="G23" s="385">
        <v>44562</v>
      </c>
      <c r="H23" s="635"/>
      <c r="I23" s="621"/>
      <c r="J23" s="636"/>
      <c r="K23" s="595"/>
      <c r="L23" s="596"/>
      <c r="M23" s="596"/>
      <c r="N23" s="596"/>
      <c r="O23" s="596"/>
      <c r="P23" s="637"/>
      <c r="Q23" s="596"/>
      <c r="R23" s="638"/>
      <c r="V23" s="405">
        <v>3.8999999999999998E-3</v>
      </c>
      <c r="W23" s="406">
        <v>3.8999999999999998E-3</v>
      </c>
      <c r="X23" s="406">
        <v>3.8999999999999998E-3</v>
      </c>
      <c r="Y23" s="406">
        <v>3.8999999999999998E-3</v>
      </c>
      <c r="Z23" s="406">
        <v>3.8999999999999998E-3</v>
      </c>
      <c r="AA23" s="406">
        <v>0</v>
      </c>
      <c r="AB23" s="406">
        <v>3.8999999999999998E-3</v>
      </c>
      <c r="AC23" s="407">
        <v>0</v>
      </c>
    </row>
    <row r="24" spans="1:29" x14ac:dyDescent="0.25">
      <c r="A24" s="738">
        <v>46054</v>
      </c>
      <c r="B24" s="710">
        <v>721366</v>
      </c>
      <c r="C24" s="711">
        <v>433478</v>
      </c>
      <c r="D24" s="711">
        <v>0</v>
      </c>
      <c r="E24" s="711">
        <v>0</v>
      </c>
      <c r="F24" s="712">
        <v>836910</v>
      </c>
      <c r="G24" s="713">
        <v>44593</v>
      </c>
      <c r="H24" s="714">
        <v>923331</v>
      </c>
      <c r="I24" s="715">
        <v>0</v>
      </c>
      <c r="J24" s="716">
        <v>561320</v>
      </c>
      <c r="K24" s="717">
        <v>1E-3</v>
      </c>
      <c r="L24" s="718">
        <v>1E-3</v>
      </c>
      <c r="M24" s="718">
        <v>1E-3</v>
      </c>
      <c r="N24" s="718">
        <v>1E-3</v>
      </c>
      <c r="O24" s="718">
        <v>1E-3</v>
      </c>
      <c r="P24" s="719">
        <v>1E-3</v>
      </c>
      <c r="Q24" s="718">
        <v>1E-3</v>
      </c>
      <c r="R24" s="720">
        <v>1E-3</v>
      </c>
      <c r="V24" s="408">
        <v>4.4803387457726601E-3</v>
      </c>
      <c r="W24" s="409">
        <v>4.4803387457726601E-3</v>
      </c>
      <c r="X24" s="409">
        <v>4.1487674298897898E-3</v>
      </c>
      <c r="Y24" s="409">
        <v>4.4988308912964703E-3</v>
      </c>
      <c r="Z24" s="409">
        <v>4.3206425724684099E-3</v>
      </c>
      <c r="AA24" s="409">
        <v>0</v>
      </c>
      <c r="AB24" s="409">
        <v>4.5345684973462598E-3</v>
      </c>
      <c r="AC24" s="410">
        <v>0</v>
      </c>
    </row>
    <row r="25" spans="1:29" x14ac:dyDescent="0.25">
      <c r="A25" s="697">
        <v>46082</v>
      </c>
      <c r="B25" s="623"/>
      <c r="C25" s="624"/>
      <c r="D25" s="624"/>
      <c r="E25" s="624"/>
      <c r="F25" s="625">
        <v>0</v>
      </c>
      <c r="G25" s="386">
        <v>44621</v>
      </c>
      <c r="H25" s="639"/>
      <c r="I25" s="640"/>
      <c r="J25" s="641"/>
      <c r="K25" s="642"/>
      <c r="L25" s="643"/>
      <c r="M25" s="643"/>
      <c r="N25" s="643"/>
      <c r="O25" s="643"/>
      <c r="P25" s="644"/>
      <c r="Q25" s="643"/>
      <c r="R25" s="645"/>
      <c r="V25" s="408">
        <v>4.4909213443380998E-3</v>
      </c>
      <c r="W25" s="409">
        <v>4.4822349298402602E-3</v>
      </c>
      <c r="X25" s="409">
        <v>0</v>
      </c>
      <c r="Y25" s="409">
        <v>4.6234638499112598E-3</v>
      </c>
      <c r="Z25" s="409">
        <v>4.4822349298402602E-3</v>
      </c>
      <c r="AA25" s="409">
        <v>0</v>
      </c>
      <c r="AB25" s="409">
        <v>4.4822349298402602E-3</v>
      </c>
      <c r="AC25" s="410">
        <v>4.2703915497337699E-3</v>
      </c>
    </row>
    <row r="26" spans="1:29" x14ac:dyDescent="0.25">
      <c r="A26" s="697">
        <v>46113</v>
      </c>
      <c r="B26" s="623"/>
      <c r="C26" s="624"/>
      <c r="D26" s="624"/>
      <c r="E26" s="624"/>
      <c r="F26" s="625">
        <v>0</v>
      </c>
      <c r="G26" s="386">
        <v>44652</v>
      </c>
      <c r="H26" s="639"/>
      <c r="I26" s="640"/>
      <c r="J26" s="641"/>
      <c r="K26" s="642"/>
      <c r="L26" s="643"/>
      <c r="M26" s="643"/>
      <c r="N26" s="643"/>
      <c r="O26" s="643"/>
      <c r="P26" s="644"/>
      <c r="Q26" s="643"/>
      <c r="R26" s="645"/>
      <c r="V26" s="408">
        <v>4.1843664307159101E-3</v>
      </c>
      <c r="W26" s="409">
        <v>4.1826293674621304E-3</v>
      </c>
      <c r="X26" s="409">
        <v>4.1895776204772797E-3</v>
      </c>
      <c r="Y26" s="409">
        <v>4.1843664307159101E-3</v>
      </c>
      <c r="Z26" s="409">
        <v>4.18213306367533E-3</v>
      </c>
      <c r="AA26" s="409">
        <v>0</v>
      </c>
      <c r="AB26" s="409">
        <v>4.1831638484632902E-3</v>
      </c>
      <c r="AC26" s="410">
        <v>4.16873286143183E-3</v>
      </c>
    </row>
    <row r="27" spans="1:29" x14ac:dyDescent="0.25">
      <c r="A27" s="697">
        <v>46143</v>
      </c>
      <c r="B27" s="623"/>
      <c r="C27" s="624"/>
      <c r="D27" s="624"/>
      <c r="E27" s="624"/>
      <c r="F27" s="625">
        <v>0</v>
      </c>
      <c r="G27" s="386">
        <v>44682</v>
      </c>
      <c r="H27" s="639"/>
      <c r="I27" s="640"/>
      <c r="J27" s="641"/>
      <c r="K27" s="642"/>
      <c r="L27" s="643"/>
      <c r="M27" s="643"/>
      <c r="N27" s="643"/>
      <c r="O27" s="643"/>
      <c r="P27" s="644"/>
      <c r="Q27" s="643"/>
      <c r="R27" s="645"/>
      <c r="V27" s="408">
        <v>4.1947855177659E-3</v>
      </c>
      <c r="W27" s="409">
        <v>4.1000000000000003E-3</v>
      </c>
      <c r="X27" s="409">
        <v>4.1924158798217499E-3</v>
      </c>
      <c r="Y27" s="409">
        <v>4.1896153986150297E-3</v>
      </c>
      <c r="Z27" s="409">
        <v>4.2129527420043597E-3</v>
      </c>
      <c r="AA27" s="409">
        <v>0</v>
      </c>
      <c r="AB27" s="409">
        <v>4.1770132331847903E-3</v>
      </c>
      <c r="AC27" s="410">
        <v>4.2232211730956698E-3</v>
      </c>
    </row>
    <row r="28" spans="1:29" x14ac:dyDescent="0.25">
      <c r="A28" s="697">
        <v>46174</v>
      </c>
      <c r="B28" s="623"/>
      <c r="C28" s="624"/>
      <c r="D28" s="624"/>
      <c r="E28" s="624"/>
      <c r="F28" s="625">
        <v>0</v>
      </c>
      <c r="G28" s="386">
        <v>44713</v>
      </c>
      <c r="H28" s="639"/>
      <c r="I28" s="640"/>
      <c r="J28" s="641"/>
      <c r="K28" s="642"/>
      <c r="L28" s="643"/>
      <c r="M28" s="643"/>
      <c r="N28" s="643"/>
      <c r="O28" s="643"/>
      <c r="P28" s="644"/>
      <c r="Q28" s="643"/>
      <c r="R28" s="645"/>
      <c r="V28" s="408">
        <v>4.2693321333421696E-3</v>
      </c>
      <c r="W28" s="409">
        <v>0</v>
      </c>
      <c r="X28" s="409">
        <v>4.2611519966562596E-3</v>
      </c>
      <c r="Y28" s="409">
        <v>4.2614306168124103E-3</v>
      </c>
      <c r="Z28" s="409">
        <v>4.2670622430060201E-3</v>
      </c>
      <c r="AA28" s="409">
        <v>0</v>
      </c>
      <c r="AB28" s="409">
        <v>4.2647448793420497E-3</v>
      </c>
      <c r="AC28" s="410">
        <v>4.2668294720514602E-3</v>
      </c>
    </row>
    <row r="29" spans="1:29" x14ac:dyDescent="0.25">
      <c r="A29" s="697">
        <v>46204</v>
      </c>
      <c r="B29" s="626"/>
      <c r="C29" s="624"/>
      <c r="D29" s="624"/>
      <c r="E29" s="624"/>
      <c r="F29" s="625">
        <v>0</v>
      </c>
      <c r="G29" s="386">
        <v>44743</v>
      </c>
      <c r="H29" s="639"/>
      <c r="I29" s="640"/>
      <c r="J29" s="641"/>
      <c r="K29" s="642"/>
      <c r="L29" s="643"/>
      <c r="M29" s="643"/>
      <c r="N29" s="643"/>
      <c r="O29" s="643"/>
      <c r="P29" s="646"/>
      <c r="Q29" s="643"/>
      <c r="R29" s="645"/>
      <c r="V29" s="411">
        <v>4.1484189093157799E-3</v>
      </c>
      <c r="W29" s="390">
        <v>4.1203131811286004E-3</v>
      </c>
      <c r="X29" s="390">
        <v>4.1355044249988702E-3</v>
      </c>
      <c r="Y29" s="390">
        <v>4.1366181509335E-3</v>
      </c>
      <c r="Z29" s="390">
        <v>4.12454703187761E-3</v>
      </c>
      <c r="AA29" s="390">
        <v>0</v>
      </c>
      <c r="AB29" s="390">
        <v>4.1230984929385697E-3</v>
      </c>
      <c r="AC29" s="412">
        <v>4.1531994834231702E-3</v>
      </c>
    </row>
    <row r="30" spans="1:29" x14ac:dyDescent="0.25">
      <c r="A30" s="697">
        <v>46235</v>
      </c>
      <c r="B30" s="627"/>
      <c r="C30" s="628"/>
      <c r="D30" s="628"/>
      <c r="E30" s="628"/>
      <c r="F30" s="629">
        <v>0</v>
      </c>
      <c r="G30" s="386">
        <v>44774</v>
      </c>
      <c r="H30" s="639"/>
      <c r="I30" s="640"/>
      <c r="J30" s="641"/>
      <c r="K30" s="642"/>
      <c r="L30" s="643"/>
      <c r="M30" s="643"/>
      <c r="N30" s="643"/>
      <c r="O30" s="643"/>
      <c r="P30" s="646"/>
      <c r="Q30" s="643"/>
      <c r="R30" s="645"/>
      <c r="V30" s="411">
        <v>4.5350538467428198E-3</v>
      </c>
      <c r="W30" s="390">
        <v>4.59706347424457E-3</v>
      </c>
      <c r="X30" s="390">
        <v>4.63975442787261E-3</v>
      </c>
      <c r="Y30" s="390">
        <v>4.5832145498818999E-3</v>
      </c>
      <c r="Z30" s="390">
        <v>4.5440445276739398E-3</v>
      </c>
      <c r="AA30" s="390">
        <v>0</v>
      </c>
      <c r="AB30" s="390">
        <v>4.5505544937886697E-3</v>
      </c>
      <c r="AC30" s="412">
        <v>4.5737741264838599E-3</v>
      </c>
    </row>
    <row r="31" spans="1:29" ht="15.75" thickBot="1" x14ac:dyDescent="0.3">
      <c r="A31" s="697">
        <v>46266</v>
      </c>
      <c r="B31" s="630"/>
      <c r="C31" s="628"/>
      <c r="D31" s="628"/>
      <c r="E31" s="628"/>
      <c r="F31" s="629">
        <v>0</v>
      </c>
      <c r="G31" s="386">
        <v>44805</v>
      </c>
      <c r="H31" s="639"/>
      <c r="I31" s="640"/>
      <c r="J31" s="641"/>
      <c r="K31" s="642"/>
      <c r="L31" s="643"/>
      <c r="M31" s="643"/>
      <c r="N31" s="643"/>
      <c r="O31" s="643"/>
      <c r="P31" s="646"/>
      <c r="Q31" s="643"/>
      <c r="R31" s="645"/>
      <c r="V31" s="411">
        <v>2.8938693495558498E-3</v>
      </c>
      <c r="W31" s="390">
        <v>3.2466574134667899E-3</v>
      </c>
      <c r="X31" s="390">
        <v>4.2429148470240598E-3</v>
      </c>
      <c r="Y31" s="390">
        <v>3.41126720530482E-3</v>
      </c>
      <c r="Z31" s="390">
        <v>3.04956406815658E-3</v>
      </c>
      <c r="AA31" s="390">
        <v>0</v>
      </c>
      <c r="AB31" s="390">
        <v>3.0131938495630102E-3</v>
      </c>
      <c r="AC31" s="412">
        <v>3.3391203843742201E-3</v>
      </c>
    </row>
    <row r="32" spans="1:29" ht="15.75" thickBot="1" x14ac:dyDescent="0.3">
      <c r="A32" s="697">
        <v>46296</v>
      </c>
      <c r="B32" s="630"/>
      <c r="C32" s="628"/>
      <c r="D32" s="628"/>
      <c r="E32" s="628"/>
      <c r="F32" s="629">
        <v>0</v>
      </c>
      <c r="G32" s="386">
        <v>44835</v>
      </c>
      <c r="H32" s="639"/>
      <c r="I32" s="640"/>
      <c r="J32" s="641"/>
      <c r="K32" s="642"/>
      <c r="L32" s="643"/>
      <c r="M32" s="643"/>
      <c r="N32" s="643"/>
      <c r="O32" s="643"/>
      <c r="P32" s="646"/>
      <c r="Q32" s="643"/>
      <c r="R32" s="645"/>
      <c r="V32" s="411">
        <v>7.1703284266576304E-3</v>
      </c>
      <c r="W32" s="390">
        <v>7.74179085095268E-3</v>
      </c>
      <c r="X32" s="390">
        <v>3.2399004748377203E-2</v>
      </c>
      <c r="Y32" s="413">
        <f>AVERAGE(Y29:Y31)</f>
        <v>4.0436999687067402E-3</v>
      </c>
      <c r="Z32" s="390">
        <v>9.5257774618888891E-3</v>
      </c>
      <c r="AA32" s="390">
        <v>0</v>
      </c>
      <c r="AB32" s="390">
        <v>1.0088016639479501E-2</v>
      </c>
      <c r="AC32" s="412">
        <v>1.1240171040355299E-2</v>
      </c>
    </row>
    <row r="33" spans="1:29" ht="15.75" thickBot="1" x14ac:dyDescent="0.3">
      <c r="A33" s="697">
        <v>46327</v>
      </c>
      <c r="B33" s="630"/>
      <c r="C33" s="631"/>
      <c r="D33" s="631"/>
      <c r="E33" s="631"/>
      <c r="F33" s="632">
        <v>0</v>
      </c>
      <c r="G33" s="386">
        <v>44866</v>
      </c>
      <c r="H33" s="647"/>
      <c r="I33" s="648"/>
      <c r="J33" s="649"/>
      <c r="K33" s="642"/>
      <c r="L33" s="643"/>
      <c r="M33" s="643"/>
      <c r="N33" s="643"/>
      <c r="O33" s="643"/>
      <c r="P33" s="650"/>
      <c r="Q33" s="643"/>
      <c r="R33" s="645"/>
      <c r="V33" s="411">
        <v>2.5174251182953598E-2</v>
      </c>
      <c r="W33" s="390">
        <v>2.12394003121417E-2</v>
      </c>
      <c r="X33" s="390">
        <v>3.8856123495727E-2</v>
      </c>
      <c r="Z33" s="390">
        <v>2.3266001580031899E-2</v>
      </c>
      <c r="AA33" s="390">
        <v>0</v>
      </c>
      <c r="AB33" s="390">
        <v>2.46926009452587E-2</v>
      </c>
      <c r="AC33" s="412">
        <v>3.9594090227645103E-2</v>
      </c>
    </row>
    <row r="34" spans="1:29" ht="15.75" thickBot="1" x14ac:dyDescent="0.3">
      <c r="A34" s="698">
        <v>46357</v>
      </c>
      <c r="B34" s="630"/>
      <c r="C34" s="633"/>
      <c r="D34" s="633"/>
      <c r="E34" s="633"/>
      <c r="F34" s="634">
        <v>0</v>
      </c>
      <c r="G34" s="386">
        <v>44896</v>
      </c>
      <c r="H34" s="651"/>
      <c r="I34" s="633"/>
      <c r="J34" s="652"/>
      <c r="K34" s="653"/>
      <c r="L34" s="654"/>
      <c r="M34" s="654"/>
      <c r="N34" s="654"/>
      <c r="O34" s="654"/>
      <c r="P34" s="655"/>
      <c r="Q34" s="654"/>
      <c r="R34" s="656"/>
      <c r="V34" s="411">
        <v>4.1562001512760197E-2</v>
      </c>
      <c r="W34" s="390">
        <v>4.1562001512760197E-2</v>
      </c>
      <c r="X34" s="415">
        <f>AVERAGE(X29:X33)</f>
        <v>1.6854660388799948E-2</v>
      </c>
      <c r="Z34" s="390">
        <v>3.9271501134570203E-2</v>
      </c>
      <c r="AA34" s="390">
        <v>0</v>
      </c>
      <c r="AB34" s="390">
        <v>3.8447683726883501E-2</v>
      </c>
      <c r="AC34" s="416">
        <f>AVERAGE(AC29:AC33)</f>
        <v>1.2580071052456333E-2</v>
      </c>
    </row>
    <row r="35" spans="1:29" ht="15.75" thickBot="1" x14ac:dyDescent="0.3">
      <c r="A35" s="417" t="s">
        <v>4</v>
      </c>
      <c r="B35" s="418">
        <f>SUM(B23:B34)</f>
        <v>721366</v>
      </c>
      <c r="C35" s="418">
        <f>SUM(C23:C34)</f>
        <v>433478</v>
      </c>
      <c r="D35" s="418">
        <f>SUM(D23:D34)</f>
        <v>0</v>
      </c>
      <c r="E35" s="418">
        <f>SUM(E23:E34)</f>
        <v>0</v>
      </c>
      <c r="F35" s="418">
        <f>SUM(F23:F34)</f>
        <v>836910</v>
      </c>
      <c r="G35" s="419"/>
      <c r="H35" s="397">
        <f>SUM(H23:H34)</f>
        <v>923331</v>
      </c>
      <c r="I35" s="397">
        <f>SUM(I23:I34)</f>
        <v>0</v>
      </c>
      <c r="J35" s="397">
        <f>SUM(J23:J34)</f>
        <v>561320</v>
      </c>
      <c r="K35" s="415">
        <f>AVERAGE(K23:K34)</f>
        <v>1E-3</v>
      </c>
      <c r="L35" s="415">
        <f>AVERAGE(L23:L34)</f>
        <v>1E-3</v>
      </c>
      <c r="M35" s="415">
        <f>AVERAGE(M23:M34)</f>
        <v>1E-3</v>
      </c>
      <c r="N35" s="415">
        <f>AVERAGE(N23:N34)</f>
        <v>1E-3</v>
      </c>
      <c r="O35" s="415">
        <f>AVERAGE(O23:O34)</f>
        <v>1E-3</v>
      </c>
      <c r="P35" s="413">
        <v>0</v>
      </c>
      <c r="Q35" s="415">
        <f>AVERAGE(Q23:Q34)</f>
        <v>1E-3</v>
      </c>
      <c r="R35" s="415">
        <f>AVERAGE(R23:R34)</f>
        <v>1E-3</v>
      </c>
      <c r="V35" s="415">
        <f>AVERAGE(V29:V34)</f>
        <v>1.4247320537997646E-2</v>
      </c>
      <c r="W35" s="415">
        <f>AVERAGE(W29:W34)</f>
        <v>1.375120445744909E-2</v>
      </c>
      <c r="Z35" s="413">
        <f>AVERAGE(Z29:Z34)</f>
        <v>1.3963572634033188E-2</v>
      </c>
      <c r="AA35" s="413">
        <f>AVERAGE(AA29:AA34)</f>
        <v>0</v>
      </c>
      <c r="AB35" s="413">
        <f>AVERAGE(AB29:AB34)</f>
        <v>1.415252469131866E-2</v>
      </c>
    </row>
    <row r="36" spans="1:29" x14ac:dyDescent="0.25">
      <c r="B36" s="368">
        <f>SUM(B29:B34)</f>
        <v>0</v>
      </c>
      <c r="C36" s="368">
        <f t="shared" ref="C36:I36" si="3">SUM(C29:C34)</f>
        <v>0</v>
      </c>
      <c r="D36" s="368">
        <f t="shared" si="3"/>
        <v>0</v>
      </c>
      <c r="E36" s="368">
        <f>SUM(E23:E34)</f>
        <v>0</v>
      </c>
      <c r="F36" s="368">
        <f t="shared" si="3"/>
        <v>0</v>
      </c>
      <c r="G36" s="368"/>
      <c r="H36" s="368">
        <f t="shared" si="3"/>
        <v>0</v>
      </c>
      <c r="I36" s="368">
        <f t="shared" si="3"/>
        <v>0</v>
      </c>
      <c r="J36" s="368">
        <f>SUM(J29:J34)</f>
        <v>0</v>
      </c>
    </row>
    <row r="37" spans="1:29" ht="15.75" thickBot="1" x14ac:dyDescent="0.3">
      <c r="F37" s="368"/>
      <c r="H37" s="381">
        <f>B35+C35+D35+E35+F35+H35+I35+J35</f>
        <v>3476405</v>
      </c>
    </row>
    <row r="38" spans="1:29" ht="15.75" thickBot="1" x14ac:dyDescent="0.3">
      <c r="A38" s="880" t="s">
        <v>428</v>
      </c>
      <c r="B38" s="881"/>
      <c r="C38" s="881"/>
      <c r="D38" s="881"/>
      <c r="E38" s="882"/>
    </row>
    <row r="39" spans="1:29" ht="15.75" thickBot="1" x14ac:dyDescent="0.3">
      <c r="A39" s="880" t="s">
        <v>79</v>
      </c>
      <c r="B39" s="881"/>
      <c r="C39" s="882"/>
      <c r="D39" s="880" t="s">
        <v>130</v>
      </c>
      <c r="E39" s="882"/>
      <c r="H39" s="929"/>
      <c r="I39" s="929"/>
    </row>
    <row r="40" spans="1:29" ht="15.75" thickBot="1" x14ac:dyDescent="0.3">
      <c r="A40" s="332" t="s">
        <v>5</v>
      </c>
      <c r="B40" s="392" t="s">
        <v>132</v>
      </c>
      <c r="C40" s="337" t="s">
        <v>133</v>
      </c>
      <c r="D40" s="334" t="s">
        <v>132</v>
      </c>
      <c r="E40" s="337" t="s">
        <v>133</v>
      </c>
      <c r="H40" s="377"/>
      <c r="I40" s="377"/>
    </row>
    <row r="41" spans="1:29" x14ac:dyDescent="0.25">
      <c r="A41" s="723">
        <f t="shared" ref="A41:A52" si="4">A23</f>
        <v>46023</v>
      </c>
      <c r="B41" s="724">
        <v>0</v>
      </c>
      <c r="C41" s="725">
        <v>0</v>
      </c>
      <c r="D41" s="724"/>
      <c r="E41" s="725"/>
      <c r="H41" s="395"/>
      <c r="I41" s="420"/>
    </row>
    <row r="42" spans="1:29" x14ac:dyDescent="0.25">
      <c r="A42" s="732">
        <f t="shared" si="4"/>
        <v>46054</v>
      </c>
      <c r="B42" s="733">
        <v>0</v>
      </c>
      <c r="C42" s="734">
        <v>0</v>
      </c>
      <c r="D42" s="733"/>
      <c r="E42" s="734"/>
      <c r="H42" s="395"/>
      <c r="I42" s="414"/>
    </row>
    <row r="43" spans="1:29" x14ac:dyDescent="0.25">
      <c r="A43" s="721">
        <f t="shared" si="4"/>
        <v>46082</v>
      </c>
      <c r="B43" s="726">
        <v>0</v>
      </c>
      <c r="C43" s="727">
        <v>0</v>
      </c>
      <c r="D43" s="726"/>
      <c r="E43" s="727"/>
      <c r="H43" s="395"/>
    </row>
    <row r="44" spans="1:29" x14ac:dyDescent="0.25">
      <c r="A44" s="721">
        <f t="shared" si="4"/>
        <v>46113</v>
      </c>
      <c r="B44" s="726">
        <v>0</v>
      </c>
      <c r="C44" s="727">
        <v>0</v>
      </c>
      <c r="D44" s="726"/>
      <c r="E44" s="727"/>
      <c r="H44" s="395"/>
    </row>
    <row r="45" spans="1:29" x14ac:dyDescent="0.25">
      <c r="A45" s="721">
        <f t="shared" si="4"/>
        <v>46143</v>
      </c>
      <c r="B45" s="726">
        <v>0</v>
      </c>
      <c r="C45" s="727">
        <v>0</v>
      </c>
      <c r="D45" s="726"/>
      <c r="E45" s="727"/>
      <c r="H45" s="420"/>
    </row>
    <row r="46" spans="1:29" x14ac:dyDescent="0.25">
      <c r="A46" s="721">
        <f t="shared" si="4"/>
        <v>46174</v>
      </c>
      <c r="B46" s="726">
        <v>0</v>
      </c>
      <c r="C46" s="727">
        <v>0</v>
      </c>
      <c r="D46" s="726"/>
      <c r="E46" s="727"/>
      <c r="H46" s="420"/>
    </row>
    <row r="47" spans="1:29" x14ac:dyDescent="0.25">
      <c r="A47" s="721">
        <f t="shared" si="4"/>
        <v>46204</v>
      </c>
      <c r="B47" s="726">
        <v>0</v>
      </c>
      <c r="C47" s="727">
        <v>0</v>
      </c>
      <c r="D47" s="728"/>
      <c r="E47" s="729"/>
      <c r="H47" s="420"/>
    </row>
    <row r="48" spans="1:29" x14ac:dyDescent="0.25">
      <c r="A48" s="721">
        <f t="shared" si="4"/>
        <v>46235</v>
      </c>
      <c r="B48" s="726">
        <v>0</v>
      </c>
      <c r="C48" s="727">
        <v>0</v>
      </c>
      <c r="D48" s="728"/>
      <c r="E48" s="729"/>
      <c r="H48" s="420"/>
    </row>
    <row r="49" spans="1:11" x14ac:dyDescent="0.25">
      <c r="A49" s="721">
        <f t="shared" si="4"/>
        <v>46266</v>
      </c>
      <c r="B49" s="726">
        <v>0</v>
      </c>
      <c r="C49" s="727">
        <v>0</v>
      </c>
      <c r="D49" s="728"/>
      <c r="E49" s="729"/>
      <c r="H49" s="414"/>
    </row>
    <row r="50" spans="1:11" x14ac:dyDescent="0.25">
      <c r="A50" s="721">
        <f t="shared" si="4"/>
        <v>46296</v>
      </c>
      <c r="B50" s="726">
        <v>0</v>
      </c>
      <c r="C50" s="727">
        <v>0</v>
      </c>
      <c r="D50" s="728"/>
      <c r="E50" s="729"/>
    </row>
    <row r="51" spans="1:11" x14ac:dyDescent="0.25">
      <c r="A51" s="721">
        <f t="shared" si="4"/>
        <v>46327</v>
      </c>
      <c r="B51" s="726">
        <v>0</v>
      </c>
      <c r="C51" s="727">
        <v>0</v>
      </c>
      <c r="D51" s="728"/>
      <c r="E51" s="729"/>
    </row>
    <row r="52" spans="1:11" ht="15.75" thickBot="1" x14ac:dyDescent="0.3">
      <c r="A52" s="722">
        <f t="shared" si="4"/>
        <v>46357</v>
      </c>
      <c r="B52" s="730">
        <v>0</v>
      </c>
      <c r="C52" s="731">
        <v>0</v>
      </c>
      <c r="D52" s="421"/>
      <c r="E52" s="422"/>
    </row>
    <row r="53" spans="1:11" ht="15.75" thickBot="1" x14ac:dyDescent="0.3">
      <c r="A53" s="332" t="s">
        <v>4</v>
      </c>
      <c r="B53" s="423">
        <f>SUM(B41:B52)</f>
        <v>0</v>
      </c>
      <c r="C53" s="423">
        <f>SUM(C41:C52)</f>
        <v>0</v>
      </c>
      <c r="D53" s="424" t="e">
        <f>AVERAGE(D41:D52)</f>
        <v>#DIV/0!</v>
      </c>
      <c r="E53" s="424" t="e">
        <f>AVERAGE(E41:E52)</f>
        <v>#DIV/0!</v>
      </c>
    </row>
    <row r="55" spans="1:11" x14ac:dyDescent="0.25">
      <c r="B55" s="368">
        <f>B53+C53</f>
        <v>0</v>
      </c>
      <c r="H55" s="368">
        <f>H37+B55</f>
        <v>3476405</v>
      </c>
      <c r="J55" s="372">
        <f>SUM(K35:R35)</f>
        <v>7.0000000000000001E-3</v>
      </c>
      <c r="K55" s="372" t="e">
        <f>SUM(D53:E53)</f>
        <v>#DIV/0!</v>
      </c>
    </row>
    <row r="56" spans="1:11" x14ac:dyDescent="0.25">
      <c r="K56" s="372" t="e">
        <f>SUM(J55:K55)/10</f>
        <v>#DIV/0!</v>
      </c>
    </row>
  </sheetData>
  <mergeCells count="14">
    <mergeCell ref="D3:E3"/>
    <mergeCell ref="B3:C3"/>
    <mergeCell ref="A3:A4"/>
    <mergeCell ref="F3:F4"/>
    <mergeCell ref="H2:I3"/>
    <mergeCell ref="A2:F2"/>
    <mergeCell ref="V21:AC21"/>
    <mergeCell ref="H39:I39"/>
    <mergeCell ref="K21:R21"/>
    <mergeCell ref="A20:R20"/>
    <mergeCell ref="A39:C39"/>
    <mergeCell ref="A21:J21"/>
    <mergeCell ref="D39:E39"/>
    <mergeCell ref="A38:E3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W83"/>
  <sheetViews>
    <sheetView workbookViewId="0">
      <selection activeCell="P25" sqref="P25"/>
    </sheetView>
  </sheetViews>
  <sheetFormatPr defaultRowHeight="15" x14ac:dyDescent="0.25"/>
  <cols>
    <col min="1" max="1" width="15.140625" customWidth="1"/>
    <col min="2" max="2" width="16" customWidth="1"/>
    <col min="3" max="3" width="6.5703125" customWidth="1"/>
    <col min="4" max="4" width="16.28515625" customWidth="1"/>
    <col min="5" max="5" width="4.28515625" customWidth="1"/>
    <col min="6" max="6" width="6.42578125" customWidth="1"/>
    <col min="7" max="7" width="3.5703125" customWidth="1"/>
    <col min="10" max="10" width="15.140625" customWidth="1"/>
    <col min="11" max="11" width="15.42578125" customWidth="1"/>
    <col min="12" max="12" width="10.28515625" customWidth="1"/>
    <col min="13" max="13" width="12.42578125" bestFit="1" customWidth="1"/>
    <col min="17" max="17" width="5" bestFit="1" customWidth="1"/>
  </cols>
  <sheetData>
    <row r="1" spans="1:23" x14ac:dyDescent="0.25">
      <c r="A1" s="944" t="s">
        <v>362</v>
      </c>
      <c r="B1" s="944"/>
      <c r="C1" s="944"/>
      <c r="D1" s="944"/>
      <c r="E1" s="944"/>
      <c r="F1" s="944"/>
      <c r="G1" s="944"/>
      <c r="H1" s="944"/>
      <c r="I1" s="944"/>
      <c r="J1" s="898" t="s">
        <v>363</v>
      </c>
      <c r="K1" s="898"/>
      <c r="L1" s="898"/>
      <c r="M1" s="898"/>
      <c r="N1" s="898"/>
      <c r="O1" s="898"/>
      <c r="P1" s="898"/>
      <c r="Q1" s="898"/>
      <c r="R1" s="898"/>
    </row>
    <row r="2" spans="1:23" ht="15.75" thickBot="1" x14ac:dyDescent="0.3"/>
    <row r="3" spans="1:23" ht="15.75" thickBot="1" x14ac:dyDescent="0.3">
      <c r="A3" s="945" t="s">
        <v>309</v>
      </c>
      <c r="B3" s="946"/>
      <c r="C3" s="946"/>
      <c r="D3" s="947"/>
      <c r="E3" s="1"/>
      <c r="F3" s="1"/>
      <c r="G3" s="1"/>
      <c r="J3" s="942" t="s">
        <v>286</v>
      </c>
      <c r="K3" s="943"/>
      <c r="L3" s="943"/>
      <c r="M3" s="24"/>
      <c r="N3" s="24"/>
      <c r="O3" s="24"/>
      <c r="P3" s="24"/>
      <c r="Q3" s="24"/>
      <c r="R3" s="24"/>
    </row>
    <row r="4" spans="1:23" x14ac:dyDescent="0.25">
      <c r="A4" s="14" t="s">
        <v>54</v>
      </c>
      <c r="B4" s="1" t="s">
        <v>55</v>
      </c>
      <c r="C4" s="1"/>
      <c r="D4" s="11"/>
      <c r="E4" s="1"/>
      <c r="F4" s="1"/>
      <c r="G4" s="1"/>
      <c r="J4" s="40" t="s">
        <v>54</v>
      </c>
      <c r="K4" s="41" t="s">
        <v>88</v>
      </c>
      <c r="L4" s="44"/>
    </row>
    <row r="5" spans="1:23" x14ac:dyDescent="0.25">
      <c r="A5" s="15" t="s">
        <v>56</v>
      </c>
      <c r="B5" s="1" t="s">
        <v>327</v>
      </c>
      <c r="C5" s="1"/>
      <c r="D5" s="11"/>
      <c r="E5" s="1"/>
      <c r="F5" s="1"/>
      <c r="G5" s="1"/>
      <c r="J5" s="38" t="s">
        <v>56</v>
      </c>
      <c r="K5" s="42" t="s">
        <v>89</v>
      </c>
      <c r="L5" s="45"/>
      <c r="M5" s="24"/>
      <c r="N5" s="24"/>
      <c r="O5" s="24"/>
      <c r="P5" s="24"/>
      <c r="Q5" s="24"/>
      <c r="R5" s="24"/>
    </row>
    <row r="6" spans="1:23" x14ac:dyDescent="0.25">
      <c r="A6" s="15" t="s">
        <v>57</v>
      </c>
      <c r="B6" s="1" t="s">
        <v>273</v>
      </c>
      <c r="C6" s="1"/>
      <c r="D6" s="11"/>
      <c r="E6" s="1"/>
      <c r="F6" s="1"/>
      <c r="G6" s="1"/>
      <c r="J6" s="38" t="s">
        <v>57</v>
      </c>
      <c r="K6" s="42" t="s">
        <v>90</v>
      </c>
      <c r="L6" s="45"/>
      <c r="M6" s="24"/>
      <c r="N6" s="24"/>
      <c r="O6" s="24"/>
      <c r="P6" s="24"/>
      <c r="Q6" s="24"/>
      <c r="R6" s="24"/>
    </row>
    <row r="7" spans="1:23" x14ac:dyDescent="0.25">
      <c r="A7" s="15" t="s">
        <v>59</v>
      </c>
      <c r="B7" s="1" t="s">
        <v>60</v>
      </c>
      <c r="C7" s="1"/>
      <c r="D7" s="11"/>
      <c r="E7" s="1"/>
      <c r="F7" s="1"/>
      <c r="G7" s="1"/>
      <c r="J7" s="38" t="s">
        <v>59</v>
      </c>
      <c r="K7" s="42" t="s">
        <v>91</v>
      </c>
      <c r="L7" s="45"/>
      <c r="M7" s="24"/>
      <c r="N7" s="24"/>
      <c r="O7" s="24"/>
      <c r="P7" s="24"/>
      <c r="Q7" s="24"/>
      <c r="R7" s="24"/>
    </row>
    <row r="8" spans="1:23" x14ac:dyDescent="0.25">
      <c r="A8" s="15" t="s">
        <v>61</v>
      </c>
      <c r="B8" s="1" t="s">
        <v>62</v>
      </c>
      <c r="C8" s="1"/>
      <c r="D8" s="11"/>
      <c r="E8" s="1"/>
      <c r="F8" s="1"/>
      <c r="G8" s="1"/>
      <c r="J8" s="38" t="s">
        <v>61</v>
      </c>
      <c r="K8" s="42" t="s">
        <v>92</v>
      </c>
      <c r="L8" s="45"/>
      <c r="M8" s="24"/>
      <c r="N8" s="24"/>
      <c r="O8" s="24"/>
      <c r="P8" s="24"/>
      <c r="Q8" s="24"/>
      <c r="R8" s="24"/>
    </row>
    <row r="9" spans="1:23" ht="15.75" thickBot="1" x14ac:dyDescent="0.3">
      <c r="A9" s="16" t="s">
        <v>63</v>
      </c>
      <c r="B9" s="12" t="s">
        <v>64</v>
      </c>
      <c r="C9" s="12"/>
      <c r="D9" s="13"/>
      <c r="E9" s="1"/>
      <c r="F9" s="1"/>
      <c r="G9" s="1"/>
      <c r="J9" s="39" t="s">
        <v>63</v>
      </c>
      <c r="K9" s="43" t="s">
        <v>93</v>
      </c>
      <c r="L9" s="46"/>
      <c r="M9" s="24"/>
      <c r="N9" s="24"/>
      <c r="O9" s="24"/>
      <c r="P9" s="24"/>
      <c r="Q9" s="24"/>
      <c r="R9" s="24"/>
    </row>
    <row r="10" spans="1:23" ht="15.75" thickBot="1" x14ac:dyDescent="0.3">
      <c r="A10" s="16" t="s">
        <v>328</v>
      </c>
      <c r="B10" s="12" t="s">
        <v>360</v>
      </c>
      <c r="C10" s="12" t="s">
        <v>338</v>
      </c>
      <c r="D10" s="13"/>
      <c r="E10" s="1"/>
      <c r="F10" s="1"/>
      <c r="G10" s="1"/>
      <c r="J10" s="16" t="s">
        <v>328</v>
      </c>
      <c r="K10" s="512" t="s">
        <v>337</v>
      </c>
      <c r="L10" s="513" t="s">
        <v>338</v>
      </c>
      <c r="M10" s="24"/>
      <c r="N10" s="24"/>
      <c r="O10" s="24"/>
      <c r="P10" s="24"/>
      <c r="Q10" s="24"/>
    </row>
    <row r="11" spans="1:23" ht="15.75" thickBot="1" x14ac:dyDescent="0.3">
      <c r="M11" s="24"/>
      <c r="N11" s="24"/>
      <c r="O11" s="24"/>
      <c r="P11" s="24"/>
      <c r="Q11" s="24"/>
      <c r="R11" s="24"/>
    </row>
    <row r="12" spans="1:23" x14ac:dyDescent="0.25">
      <c r="A12" s="17" t="s">
        <v>65</v>
      </c>
      <c r="B12" s="21">
        <f>Aguirre!F6</f>
        <v>8524821.9000000004</v>
      </c>
      <c r="C12" s="18" t="s">
        <v>268</v>
      </c>
      <c r="D12" s="1"/>
      <c r="E12" s="1"/>
      <c r="F12" s="1"/>
      <c r="G12" s="1"/>
      <c r="J12" s="47" t="s">
        <v>85</v>
      </c>
      <c r="K12" s="49">
        <f>SUM(Aguirre!B24:F24,Aguirre!H24:J24,Aguirre!B42:C42)</f>
        <v>3476405</v>
      </c>
      <c r="L12" s="44" t="s">
        <v>268</v>
      </c>
      <c r="V12">
        <f>323412*2204.6/28478821</f>
        <v>25.035941452772921</v>
      </c>
      <c r="W12" t="s">
        <v>329</v>
      </c>
    </row>
    <row r="13" spans="1:23" ht="15.75" thickBot="1" x14ac:dyDescent="0.3">
      <c r="A13" s="19" t="s">
        <v>67</v>
      </c>
      <c r="B13" s="71">
        <f>AVERAGE(Aguirre!H6:I6)</f>
        <v>0.46</v>
      </c>
      <c r="C13" s="20"/>
      <c r="D13" s="1"/>
      <c r="E13" s="1"/>
      <c r="F13" s="1"/>
      <c r="G13" s="1"/>
      <c r="J13" s="48" t="s">
        <v>67</v>
      </c>
      <c r="K13" s="72">
        <f>AVERAGE(Aguirre!K24:R24,Aguirre!D42:E42)</f>
        <v>1E-3</v>
      </c>
      <c r="L13" s="46"/>
      <c r="M13" s="24"/>
      <c r="N13" s="24"/>
      <c r="O13" s="24"/>
      <c r="P13" s="24"/>
      <c r="Q13" s="24"/>
      <c r="R13" s="24"/>
      <c r="V13">
        <f>(73.96+0.003*25+0.0006*298)*2.2046*0.138</f>
        <v>22.578420600240001</v>
      </c>
      <c r="W13" t="s">
        <v>329</v>
      </c>
    </row>
    <row r="14" spans="1:23" x14ac:dyDescent="0.25">
      <c r="M14" s="24"/>
      <c r="N14" s="24"/>
      <c r="O14" s="24"/>
      <c r="P14" s="24"/>
      <c r="Q14" s="24"/>
      <c r="R14" s="24"/>
    </row>
    <row r="16" spans="1:23" x14ac:dyDescent="0.25">
      <c r="A16" s="1" t="s">
        <v>68</v>
      </c>
      <c r="B16" s="1"/>
      <c r="C16" s="1"/>
      <c r="D16" s="1"/>
      <c r="E16" s="1"/>
      <c r="F16" s="1"/>
      <c r="G16" s="1"/>
      <c r="J16" s="24" t="s">
        <v>68</v>
      </c>
      <c r="K16" s="24"/>
      <c r="L16" s="24"/>
      <c r="M16" s="24"/>
      <c r="N16" s="24"/>
      <c r="O16" s="24"/>
      <c r="P16" s="24"/>
      <c r="Q16" s="24"/>
      <c r="R16" s="24"/>
    </row>
    <row r="18" spans="1:18" x14ac:dyDescent="0.25">
      <c r="A18" s="4" t="s">
        <v>69</v>
      </c>
      <c r="B18" s="23">
        <f>(9.19*B13)+3.22</f>
        <v>7.4474</v>
      </c>
      <c r="C18" s="8" t="s">
        <v>70</v>
      </c>
      <c r="D18" s="9">
        <f>B12</f>
        <v>8524821.9000000004</v>
      </c>
      <c r="E18" s="8" t="s">
        <v>71</v>
      </c>
      <c r="F18" s="938" t="s">
        <v>72</v>
      </c>
      <c r="G18" s="939"/>
      <c r="J18" s="28" t="s">
        <v>69</v>
      </c>
      <c r="K18" s="35">
        <v>1.2E-2</v>
      </c>
      <c r="L18" s="33" t="s">
        <v>70</v>
      </c>
      <c r="M18" s="34">
        <f>K12</f>
        <v>3476405</v>
      </c>
      <c r="N18" s="33" t="s">
        <v>71</v>
      </c>
      <c r="O18" s="35">
        <v>0.13800000000000001</v>
      </c>
      <c r="P18" s="33" t="s">
        <v>86</v>
      </c>
      <c r="Q18" s="35" t="s">
        <v>72</v>
      </c>
      <c r="R18" s="37"/>
    </row>
    <row r="19" spans="1:18" x14ac:dyDescent="0.25">
      <c r="A19" s="1"/>
      <c r="B19" s="6">
        <v>1000</v>
      </c>
      <c r="C19" s="7" t="s">
        <v>71</v>
      </c>
      <c r="D19" s="940" t="s">
        <v>279</v>
      </c>
      <c r="E19" s="941"/>
      <c r="F19" s="6">
        <v>2000</v>
      </c>
      <c r="G19" s="7" t="s">
        <v>70</v>
      </c>
      <c r="J19" s="24"/>
      <c r="K19" s="30" t="s">
        <v>86</v>
      </c>
      <c r="L19" s="31"/>
      <c r="M19" s="30" t="s">
        <v>279</v>
      </c>
      <c r="N19" s="31"/>
      <c r="O19" s="30" t="s">
        <v>71</v>
      </c>
      <c r="P19" s="31"/>
      <c r="Q19" s="30">
        <v>2000</v>
      </c>
      <c r="R19" s="36" t="s">
        <v>70</v>
      </c>
    </row>
    <row r="22" spans="1:18" x14ac:dyDescent="0.25">
      <c r="A22" s="4" t="s">
        <v>69</v>
      </c>
      <c r="B22" s="3">
        <f>((B18/B19)*D18)/F19</f>
        <v>31.743879309030003</v>
      </c>
      <c r="C22" s="5" t="s">
        <v>72</v>
      </c>
      <c r="D22" s="1"/>
      <c r="E22" s="1"/>
      <c r="F22" s="1"/>
      <c r="G22" s="1"/>
      <c r="J22" s="28" t="s">
        <v>69</v>
      </c>
      <c r="K22" s="27">
        <f>((K18*M18*O18)/Q19)</f>
        <v>2.8784633400000001</v>
      </c>
      <c r="L22" s="29" t="s">
        <v>72</v>
      </c>
      <c r="M22" s="24"/>
      <c r="N22" s="24"/>
      <c r="O22" s="25"/>
      <c r="P22" s="24"/>
      <c r="Q22" s="24"/>
      <c r="R22" s="24"/>
    </row>
    <row r="23" spans="1:18" x14ac:dyDescent="0.25">
      <c r="A23" s="1"/>
      <c r="B23" s="1"/>
      <c r="C23" s="2" t="s">
        <v>279</v>
      </c>
      <c r="D23" s="1"/>
      <c r="E23" s="1"/>
      <c r="F23" s="1"/>
      <c r="G23" s="1"/>
      <c r="J23" s="24"/>
      <c r="K23" s="24"/>
      <c r="L23" s="26" t="s">
        <v>279</v>
      </c>
      <c r="M23" s="24"/>
      <c r="N23" s="24"/>
      <c r="O23" s="24"/>
      <c r="P23" s="24"/>
      <c r="Q23" s="24"/>
      <c r="R23" s="24"/>
    </row>
    <row r="26" spans="1:18" x14ac:dyDescent="0.25">
      <c r="A26" s="1" t="s">
        <v>74</v>
      </c>
      <c r="B26" s="1"/>
      <c r="C26" s="1"/>
      <c r="D26" s="1"/>
      <c r="E26" s="1"/>
      <c r="F26" s="1"/>
      <c r="G26" s="1"/>
      <c r="J26" s="24" t="s">
        <v>74</v>
      </c>
      <c r="K26" s="24"/>
      <c r="L26" s="24"/>
      <c r="M26" s="24"/>
      <c r="N26" s="24"/>
      <c r="O26" s="24"/>
      <c r="P26" s="24"/>
      <c r="Q26" s="24"/>
      <c r="R26" s="24"/>
    </row>
    <row r="27" spans="1:18" x14ac:dyDescent="0.25">
      <c r="B27" s="316"/>
    </row>
    <row r="28" spans="1:18" x14ac:dyDescent="0.25">
      <c r="A28" s="4" t="s">
        <v>69</v>
      </c>
      <c r="B28" s="487">
        <f>157*B13</f>
        <v>72.22</v>
      </c>
      <c r="C28" s="8" t="s">
        <v>70</v>
      </c>
      <c r="D28" s="9">
        <f>B12</f>
        <v>8524821.9000000004</v>
      </c>
      <c r="E28" s="8" t="s">
        <v>71</v>
      </c>
      <c r="F28" s="938" t="s">
        <v>72</v>
      </c>
      <c r="G28" s="939"/>
      <c r="J28" s="28" t="s">
        <v>69</v>
      </c>
      <c r="K28" s="32">
        <f>1.01*K13</f>
        <v>1.01E-3</v>
      </c>
      <c r="L28" s="33" t="s">
        <v>70</v>
      </c>
      <c r="M28" s="34">
        <f>K12</f>
        <v>3476405</v>
      </c>
      <c r="N28" s="33" t="s">
        <v>71</v>
      </c>
      <c r="O28" s="35">
        <v>0.13800000000000001</v>
      </c>
      <c r="P28" s="33" t="s">
        <v>86</v>
      </c>
      <c r="Q28" s="35" t="s">
        <v>72</v>
      </c>
      <c r="R28" s="37"/>
    </row>
    <row r="29" spans="1:18" x14ac:dyDescent="0.25">
      <c r="A29" s="1"/>
      <c r="B29" s="6">
        <v>1000</v>
      </c>
      <c r="C29" s="7" t="s">
        <v>71</v>
      </c>
      <c r="D29" s="940" t="s">
        <v>279</v>
      </c>
      <c r="E29" s="941"/>
      <c r="F29" s="6">
        <v>2000</v>
      </c>
      <c r="G29" s="7" t="s">
        <v>70</v>
      </c>
      <c r="J29" s="24"/>
      <c r="K29" s="30" t="s">
        <v>86</v>
      </c>
      <c r="L29" s="31"/>
      <c r="M29" s="30" t="s">
        <v>279</v>
      </c>
      <c r="N29" s="31"/>
      <c r="O29" s="30" t="s">
        <v>71</v>
      </c>
      <c r="P29" s="31"/>
      <c r="Q29" s="30">
        <v>2000</v>
      </c>
      <c r="R29" s="36" t="s">
        <v>70</v>
      </c>
    </row>
    <row r="32" spans="1:18" x14ac:dyDescent="0.25">
      <c r="A32" s="4" t="s">
        <v>69</v>
      </c>
      <c r="B32" s="3">
        <f>((B28/B29)*D28)/F29</f>
        <v>307.83131880899998</v>
      </c>
      <c r="C32" s="5" t="s">
        <v>72</v>
      </c>
      <c r="D32" s="1"/>
      <c r="E32" s="1"/>
      <c r="F32" s="1"/>
      <c r="G32" s="1"/>
      <c r="J32" s="28" t="s">
        <v>69</v>
      </c>
      <c r="K32" s="27">
        <f>((K28*M28*O28)/Q29)</f>
        <v>0.24227066445000003</v>
      </c>
      <c r="L32" s="29" t="s">
        <v>72</v>
      </c>
      <c r="M32" s="24"/>
      <c r="N32" s="24"/>
      <c r="O32" s="24"/>
      <c r="P32" s="24"/>
      <c r="Q32" s="24"/>
      <c r="R32" s="24"/>
    </row>
    <row r="33" spans="1:18" x14ac:dyDescent="0.25">
      <c r="A33" s="1"/>
      <c r="B33" s="1"/>
      <c r="C33" s="2" t="s">
        <v>279</v>
      </c>
      <c r="D33" s="1"/>
      <c r="E33" s="1"/>
      <c r="F33" s="1"/>
      <c r="G33" s="1"/>
      <c r="J33" s="24"/>
      <c r="K33" s="24"/>
      <c r="L33" s="26" t="s">
        <v>279</v>
      </c>
      <c r="M33" s="24"/>
      <c r="N33" s="24"/>
      <c r="O33" s="24"/>
      <c r="P33" s="24"/>
      <c r="Q33" s="24"/>
      <c r="R33" s="24"/>
    </row>
    <row r="36" spans="1:18" x14ac:dyDescent="0.25">
      <c r="A36" s="1" t="s">
        <v>75</v>
      </c>
      <c r="B36" s="1"/>
      <c r="C36" s="1"/>
      <c r="D36" s="1"/>
      <c r="E36" s="1"/>
      <c r="F36" s="1"/>
      <c r="G36" s="1"/>
      <c r="J36" s="24" t="s">
        <v>75</v>
      </c>
      <c r="K36" s="24"/>
      <c r="L36" s="24"/>
      <c r="M36" s="24"/>
      <c r="N36" s="24"/>
      <c r="O36" s="24"/>
      <c r="P36" s="24"/>
      <c r="Q36" s="24"/>
      <c r="R36" s="24"/>
    </row>
    <row r="38" spans="1:18" x14ac:dyDescent="0.25">
      <c r="A38" s="4" t="s">
        <v>69</v>
      </c>
      <c r="B38" s="488">
        <v>0.33</v>
      </c>
      <c r="C38" s="8" t="s">
        <v>70</v>
      </c>
      <c r="D38" s="9">
        <f>B12</f>
        <v>8524821.9000000004</v>
      </c>
      <c r="E38" s="8" t="s">
        <v>71</v>
      </c>
      <c r="F38" s="938" t="s">
        <v>310</v>
      </c>
      <c r="G38" s="939"/>
      <c r="H38" s="938" t="s">
        <v>72</v>
      </c>
      <c r="I38" s="939"/>
      <c r="J38" s="28" t="s">
        <v>69</v>
      </c>
      <c r="K38" s="35">
        <v>0.88</v>
      </c>
      <c r="L38" s="33" t="s">
        <v>70</v>
      </c>
      <c r="M38" s="34">
        <f>K12</f>
        <v>3476405</v>
      </c>
      <c r="N38" s="33" t="s">
        <v>71</v>
      </c>
      <c r="O38" s="35">
        <v>0.13800000000000001</v>
      </c>
      <c r="P38" s="33" t="s">
        <v>86</v>
      </c>
      <c r="Q38" s="35" t="s">
        <v>72</v>
      </c>
      <c r="R38" s="37"/>
    </row>
    <row r="39" spans="1:18" x14ac:dyDescent="0.25">
      <c r="A39" s="1"/>
      <c r="B39" s="6"/>
      <c r="C39" s="7" t="s">
        <v>119</v>
      </c>
      <c r="D39" s="940" t="s">
        <v>279</v>
      </c>
      <c r="E39" s="941"/>
      <c r="F39" s="6" t="s">
        <v>71</v>
      </c>
      <c r="G39" s="7"/>
      <c r="H39" s="6">
        <v>2000</v>
      </c>
      <c r="I39" s="7" t="s">
        <v>70</v>
      </c>
      <c r="J39" s="24"/>
      <c r="K39" s="30" t="s">
        <v>86</v>
      </c>
      <c r="L39" s="31"/>
      <c r="M39" s="30" t="s">
        <v>279</v>
      </c>
      <c r="N39" s="31"/>
      <c r="O39" s="30" t="s">
        <v>71</v>
      </c>
      <c r="P39" s="31"/>
      <c r="Q39" s="30">
        <v>2000</v>
      </c>
      <c r="R39" s="36" t="s">
        <v>70</v>
      </c>
    </row>
    <row r="42" spans="1:18" x14ac:dyDescent="0.25">
      <c r="A42" s="4" t="s">
        <v>69</v>
      </c>
      <c r="B42" s="3">
        <f>B38*D38*0.15/2000</f>
        <v>210.98934202500001</v>
      </c>
      <c r="C42" s="5" t="s">
        <v>72</v>
      </c>
      <c r="D42" s="1"/>
      <c r="E42" s="1"/>
      <c r="F42" s="1"/>
      <c r="G42" s="1"/>
      <c r="J42" s="28" t="s">
        <v>69</v>
      </c>
      <c r="K42" s="27">
        <f>((K38*M38*O38)/Q39)</f>
        <v>211.08731160000002</v>
      </c>
      <c r="L42" s="29" t="s">
        <v>72</v>
      </c>
      <c r="M42" s="24"/>
      <c r="N42" s="24"/>
      <c r="O42" s="24"/>
      <c r="P42" s="24"/>
      <c r="Q42" s="24"/>
      <c r="R42" s="24"/>
    </row>
    <row r="43" spans="1:18" x14ac:dyDescent="0.25">
      <c r="A43" s="1"/>
      <c r="B43" s="1"/>
      <c r="C43" s="2" t="s">
        <v>279</v>
      </c>
      <c r="D43" s="1"/>
      <c r="E43" s="1"/>
      <c r="F43" s="1"/>
      <c r="G43" s="1"/>
      <c r="J43" s="24"/>
      <c r="K43" s="24"/>
      <c r="L43" s="26" t="s">
        <v>279</v>
      </c>
      <c r="M43" s="24"/>
      <c r="N43" s="24"/>
      <c r="O43" s="24"/>
      <c r="P43" s="24"/>
      <c r="Q43" s="24"/>
      <c r="R43" s="24"/>
    </row>
    <row r="44" spans="1:18" x14ac:dyDescent="0.25">
      <c r="A44" s="1"/>
      <c r="B44" s="1"/>
      <c r="C44" s="2"/>
      <c r="D44" s="1"/>
      <c r="E44" s="1"/>
      <c r="F44" s="1"/>
      <c r="G44" s="1"/>
      <c r="J44" s="24"/>
      <c r="K44" s="24"/>
      <c r="L44" s="26"/>
      <c r="M44" s="24"/>
      <c r="N44" s="24"/>
      <c r="O44" s="24"/>
      <c r="P44" s="24"/>
      <c r="Q44" s="24"/>
      <c r="R44" s="24"/>
    </row>
    <row r="45" spans="1:18" x14ac:dyDescent="0.25">
      <c r="A45" s="1"/>
      <c r="B45" s="1"/>
      <c r="C45" s="2"/>
      <c r="D45" s="1"/>
      <c r="E45" s="1"/>
      <c r="F45" s="1"/>
      <c r="G45" s="1"/>
      <c r="J45" s="24"/>
      <c r="K45" s="24"/>
      <c r="L45" s="26"/>
      <c r="M45" s="24"/>
      <c r="N45" s="24"/>
      <c r="O45" s="24"/>
      <c r="P45" s="24"/>
      <c r="Q45" s="24"/>
      <c r="R45" s="24"/>
    </row>
    <row r="46" spans="1:18" x14ac:dyDescent="0.25">
      <c r="A46" s="1" t="s">
        <v>76</v>
      </c>
      <c r="B46" s="1"/>
      <c r="C46" s="1"/>
      <c r="D46" s="1"/>
      <c r="E46" s="1"/>
      <c r="F46" s="1"/>
      <c r="G46" s="1"/>
      <c r="J46" s="24" t="s">
        <v>76</v>
      </c>
      <c r="K46" s="24"/>
      <c r="L46" s="24"/>
      <c r="M46" s="24"/>
      <c r="N46" s="24"/>
      <c r="O46" s="24"/>
      <c r="P46" s="24"/>
      <c r="Q46" s="24"/>
      <c r="R46" s="24"/>
    </row>
    <row r="48" spans="1:18" x14ac:dyDescent="0.25">
      <c r="A48" s="4" t="s">
        <v>69</v>
      </c>
      <c r="B48" s="10">
        <v>0.76</v>
      </c>
      <c r="C48" s="8" t="s">
        <v>70</v>
      </c>
      <c r="D48" s="9">
        <f>B12</f>
        <v>8524821.9000000004</v>
      </c>
      <c r="E48" s="8" t="s">
        <v>71</v>
      </c>
      <c r="F48" s="938" t="s">
        <v>72</v>
      </c>
      <c r="G48" s="939"/>
      <c r="J48" s="28" t="s">
        <v>69</v>
      </c>
      <c r="K48" s="35">
        <v>4.0999999999999999E-4</v>
      </c>
      <c r="L48" s="33" t="s">
        <v>70</v>
      </c>
      <c r="M48" s="34">
        <f>K12</f>
        <v>3476405</v>
      </c>
      <c r="N48" s="33" t="s">
        <v>71</v>
      </c>
      <c r="O48" s="35">
        <v>0.13800000000000001</v>
      </c>
      <c r="P48" s="33" t="s">
        <v>86</v>
      </c>
      <c r="Q48" s="35" t="s">
        <v>72</v>
      </c>
      <c r="R48" s="37"/>
    </row>
    <row r="49" spans="1:18" x14ac:dyDescent="0.25">
      <c r="A49" s="1"/>
      <c r="B49" s="6">
        <v>1000</v>
      </c>
      <c r="C49" s="7" t="s">
        <v>71</v>
      </c>
      <c r="D49" s="940" t="s">
        <v>279</v>
      </c>
      <c r="E49" s="941"/>
      <c r="F49" s="6">
        <v>2000</v>
      </c>
      <c r="G49" s="7" t="s">
        <v>70</v>
      </c>
      <c r="J49" s="24"/>
      <c r="K49" s="30" t="s">
        <v>86</v>
      </c>
      <c r="L49" s="31"/>
      <c r="M49" s="30" t="s">
        <v>279</v>
      </c>
      <c r="N49" s="31"/>
      <c r="O49" s="30" t="s">
        <v>71</v>
      </c>
      <c r="P49" s="31"/>
      <c r="Q49" s="30">
        <v>2000</v>
      </c>
      <c r="R49" s="36" t="s">
        <v>70</v>
      </c>
    </row>
    <row r="52" spans="1:18" x14ac:dyDescent="0.25">
      <c r="A52" s="4" t="s">
        <v>69</v>
      </c>
      <c r="B52" s="3">
        <f>((B48/B49)*D48)/F49</f>
        <v>3.2394323220000003</v>
      </c>
      <c r="C52" s="5" t="s">
        <v>72</v>
      </c>
      <c r="D52" s="1"/>
      <c r="E52" s="1"/>
      <c r="F52" s="1"/>
      <c r="G52" s="1"/>
      <c r="J52" s="28" t="s">
        <v>69</v>
      </c>
      <c r="K52" s="27">
        <f>((K48*M48*O48)/Q49)</f>
        <v>9.8347497450000002E-2</v>
      </c>
      <c r="L52" s="29" t="s">
        <v>72</v>
      </c>
      <c r="M52" s="24"/>
      <c r="N52" s="24"/>
      <c r="O52" s="24"/>
      <c r="P52" s="24"/>
      <c r="Q52" s="24"/>
      <c r="R52" s="24"/>
    </row>
    <row r="53" spans="1:18" x14ac:dyDescent="0.25">
      <c r="A53" s="1"/>
      <c r="B53" s="1"/>
      <c r="C53" s="2" t="s">
        <v>279</v>
      </c>
      <c r="D53" s="1"/>
      <c r="E53" s="1"/>
      <c r="F53" s="1"/>
      <c r="G53" s="1"/>
      <c r="J53" s="24"/>
      <c r="K53" s="24"/>
      <c r="L53" s="26" t="s">
        <v>279</v>
      </c>
      <c r="M53" s="24"/>
      <c r="N53" s="24"/>
      <c r="O53" s="24"/>
      <c r="P53" s="24"/>
      <c r="Q53" s="24"/>
      <c r="R53" s="24"/>
    </row>
    <row r="56" spans="1:18" x14ac:dyDescent="0.25">
      <c r="A56" s="1" t="s">
        <v>77</v>
      </c>
      <c r="B56" s="1"/>
      <c r="C56" s="1"/>
      <c r="D56" s="1"/>
      <c r="E56" s="1"/>
      <c r="F56" s="1"/>
      <c r="G56" s="1"/>
      <c r="J56" s="24" t="s">
        <v>77</v>
      </c>
      <c r="K56" s="24"/>
      <c r="L56" s="24"/>
      <c r="M56" s="24"/>
      <c r="N56" s="24"/>
      <c r="O56" s="24"/>
      <c r="P56" s="24"/>
      <c r="Q56" s="24"/>
      <c r="R56" s="24"/>
    </row>
    <row r="58" spans="1:18" x14ac:dyDescent="0.25">
      <c r="A58" s="4" t="s">
        <v>69</v>
      </c>
      <c r="B58" s="10">
        <v>5</v>
      </c>
      <c r="C58" s="8" t="s">
        <v>70</v>
      </c>
      <c r="D58" s="9">
        <f>B12</f>
        <v>8524821.9000000004</v>
      </c>
      <c r="E58" s="8" t="s">
        <v>71</v>
      </c>
      <c r="F58" s="938" t="s">
        <v>72</v>
      </c>
      <c r="G58" s="939"/>
      <c r="J58" s="28" t="s">
        <v>69</v>
      </c>
      <c r="K58" s="35">
        <v>3.3E-3</v>
      </c>
      <c r="L58" s="33" t="s">
        <v>70</v>
      </c>
      <c r="M58" s="34">
        <f>K12</f>
        <v>3476405</v>
      </c>
      <c r="N58" s="33" t="s">
        <v>71</v>
      </c>
      <c r="O58" s="35">
        <v>0.13800000000000001</v>
      </c>
      <c r="P58" s="33" t="s">
        <v>86</v>
      </c>
      <c r="Q58" s="35" t="s">
        <v>72</v>
      </c>
      <c r="R58" s="37"/>
    </row>
    <row r="59" spans="1:18" x14ac:dyDescent="0.25">
      <c r="A59" s="1"/>
      <c r="B59" s="6">
        <v>1000</v>
      </c>
      <c r="C59" s="7" t="s">
        <v>71</v>
      </c>
      <c r="D59" s="940" t="s">
        <v>279</v>
      </c>
      <c r="E59" s="941"/>
      <c r="F59" s="6">
        <v>2000</v>
      </c>
      <c r="G59" s="7" t="s">
        <v>70</v>
      </c>
      <c r="J59" s="24"/>
      <c r="K59" s="30" t="s">
        <v>86</v>
      </c>
      <c r="L59" s="31"/>
      <c r="M59" s="30" t="s">
        <v>279</v>
      </c>
      <c r="N59" s="31"/>
      <c r="O59" s="30" t="s">
        <v>71</v>
      </c>
      <c r="P59" s="31"/>
      <c r="Q59" s="30">
        <v>2000</v>
      </c>
      <c r="R59" s="36" t="s">
        <v>70</v>
      </c>
    </row>
    <row r="62" spans="1:18" x14ac:dyDescent="0.25">
      <c r="A62" s="4" t="s">
        <v>69</v>
      </c>
      <c r="B62" s="3">
        <f>((B58/B59)*D58)/F59</f>
        <v>21.312054750000001</v>
      </c>
      <c r="C62" s="5" t="s">
        <v>72</v>
      </c>
      <c r="D62" s="1"/>
      <c r="E62" s="1"/>
      <c r="F62" s="1"/>
      <c r="G62" s="1"/>
      <c r="J62" s="28" t="s">
        <v>69</v>
      </c>
      <c r="K62" s="27">
        <f>((K58*M58*O58)/Q59)</f>
        <v>0.79157741850000019</v>
      </c>
      <c r="L62" s="29" t="s">
        <v>72</v>
      </c>
      <c r="M62" s="24"/>
      <c r="N62" s="24"/>
      <c r="O62" s="24"/>
      <c r="P62" s="24"/>
      <c r="Q62" s="24"/>
      <c r="R62" s="24"/>
    </row>
    <row r="63" spans="1:18" x14ac:dyDescent="0.25">
      <c r="A63" s="1"/>
      <c r="B63" s="1"/>
      <c r="C63" s="2" t="s">
        <v>279</v>
      </c>
      <c r="D63" s="1"/>
      <c r="E63" s="1"/>
      <c r="F63" s="1"/>
      <c r="G63" s="1"/>
      <c r="J63" s="24"/>
      <c r="K63" s="24"/>
      <c r="L63" s="26" t="s">
        <v>279</v>
      </c>
      <c r="M63" s="24"/>
      <c r="N63" s="24"/>
      <c r="O63" s="24"/>
      <c r="P63" s="24"/>
      <c r="Q63" s="24"/>
      <c r="R63" s="24"/>
    </row>
    <row r="66" spans="1:18" x14ac:dyDescent="0.25">
      <c r="A66" s="1" t="s">
        <v>78</v>
      </c>
      <c r="B66" s="1"/>
      <c r="C66" s="1"/>
      <c r="D66" s="1"/>
      <c r="E66" s="1"/>
      <c r="F66" s="1"/>
      <c r="G66" s="1"/>
      <c r="J66" s="24" t="s">
        <v>78</v>
      </c>
      <c r="K66" s="24"/>
      <c r="L66" s="24"/>
      <c r="M66" s="24"/>
      <c r="N66" s="24"/>
      <c r="O66" s="24"/>
      <c r="P66" s="24"/>
      <c r="Q66" s="24"/>
      <c r="R66" s="24"/>
    </row>
    <row r="68" spans="1:18" x14ac:dyDescent="0.25">
      <c r="A68" s="4" t="s">
        <v>69</v>
      </c>
      <c r="B68" s="10">
        <v>1.5100000000000001E-3</v>
      </c>
      <c r="C68" s="8" t="s">
        <v>70</v>
      </c>
      <c r="D68" s="9">
        <f>B12</f>
        <v>8524821.9000000004</v>
      </c>
      <c r="E68" s="8" t="s">
        <v>71</v>
      </c>
      <c r="F68" s="938" t="s">
        <v>72</v>
      </c>
      <c r="G68" s="939"/>
      <c r="J68" s="28" t="s">
        <v>69</v>
      </c>
      <c r="K68" s="35">
        <v>1.4E-5</v>
      </c>
      <c r="L68" s="33" t="s">
        <v>70</v>
      </c>
      <c r="M68" s="34">
        <f>K12</f>
        <v>3476405</v>
      </c>
      <c r="N68" s="33" t="s">
        <v>71</v>
      </c>
      <c r="O68" s="35">
        <v>0.13800000000000001</v>
      </c>
      <c r="P68" s="33" t="s">
        <v>86</v>
      </c>
      <c r="Q68" s="35" t="s">
        <v>72</v>
      </c>
      <c r="R68" s="37"/>
    </row>
    <row r="69" spans="1:18" x14ac:dyDescent="0.25">
      <c r="A69" s="1"/>
      <c r="B69" s="6">
        <v>1000</v>
      </c>
      <c r="C69" s="7" t="s">
        <v>71</v>
      </c>
      <c r="D69" s="940" t="s">
        <v>279</v>
      </c>
      <c r="E69" s="941"/>
      <c r="F69" s="6">
        <v>2000</v>
      </c>
      <c r="G69" s="7" t="s">
        <v>70</v>
      </c>
      <c r="J69" s="24"/>
      <c r="K69" s="30" t="s">
        <v>86</v>
      </c>
      <c r="L69" s="31"/>
      <c r="M69" s="30" t="s">
        <v>279</v>
      </c>
      <c r="N69" s="31"/>
      <c r="O69" s="30" t="s">
        <v>71</v>
      </c>
      <c r="P69" s="31"/>
      <c r="Q69" s="30">
        <v>2000</v>
      </c>
      <c r="R69" s="36" t="s">
        <v>70</v>
      </c>
    </row>
    <row r="72" spans="1:18" x14ac:dyDescent="0.25">
      <c r="A72" s="4" t="s">
        <v>69</v>
      </c>
      <c r="B72" s="3">
        <f>((B68/B69)*D68)/F69</f>
        <v>6.4362405345000017E-3</v>
      </c>
      <c r="C72" s="5" t="s">
        <v>72</v>
      </c>
      <c r="D72" s="1"/>
      <c r="E72" s="1"/>
      <c r="F72" s="1"/>
      <c r="G72" s="1"/>
      <c r="J72" s="28" t="s">
        <v>69</v>
      </c>
      <c r="K72" s="27">
        <f>((K68*M68*O68)/Q69)</f>
        <v>3.3582072300000002E-3</v>
      </c>
      <c r="L72" s="29" t="s">
        <v>72</v>
      </c>
      <c r="M72" s="24"/>
      <c r="N72" s="24"/>
      <c r="O72" s="24"/>
      <c r="P72" s="24"/>
      <c r="Q72" s="24"/>
      <c r="R72" s="24"/>
    </row>
    <row r="73" spans="1:18" x14ac:dyDescent="0.25">
      <c r="A73" s="1"/>
      <c r="B73" s="1"/>
      <c r="C73" s="2" t="s">
        <v>279</v>
      </c>
      <c r="D73" s="1"/>
      <c r="E73" s="1"/>
      <c r="F73" s="1"/>
      <c r="G73" s="1"/>
      <c r="J73" s="24"/>
      <c r="K73" s="24"/>
      <c r="L73" s="26" t="s">
        <v>279</v>
      </c>
      <c r="M73" s="24"/>
      <c r="N73" s="24"/>
      <c r="O73" s="24"/>
      <c r="P73" s="24"/>
      <c r="Q73" s="24"/>
      <c r="R73" s="24"/>
    </row>
    <row r="76" spans="1:18" x14ac:dyDescent="0.25">
      <c r="A76" s="1" t="s">
        <v>334</v>
      </c>
      <c r="B76" s="1"/>
      <c r="C76" s="1"/>
      <c r="D76" s="1"/>
      <c r="E76" s="1"/>
      <c r="F76" s="1"/>
      <c r="G76" s="1"/>
      <c r="J76" s="323" t="s">
        <v>334</v>
      </c>
      <c r="K76" s="24"/>
      <c r="L76" s="24"/>
      <c r="M76" s="24"/>
      <c r="N76" s="24"/>
      <c r="O76" s="24"/>
      <c r="P76" s="24"/>
      <c r="Q76" s="24"/>
      <c r="R76" s="24"/>
    </row>
    <row r="78" spans="1:18" x14ac:dyDescent="0.25">
      <c r="A78" s="4" t="s">
        <v>69</v>
      </c>
      <c r="B78" s="514">
        <f>V12</f>
        <v>25.035941452772921</v>
      </c>
      <c r="C78" s="8" t="s">
        <v>70</v>
      </c>
      <c r="D78" s="9">
        <f>B12</f>
        <v>8524821.9000000004</v>
      </c>
      <c r="E78" s="8" t="s">
        <v>71</v>
      </c>
      <c r="F78" s="938" t="s">
        <v>72</v>
      </c>
      <c r="G78" s="939"/>
      <c r="J78" s="28" t="s">
        <v>69</v>
      </c>
      <c r="K78" s="514">
        <f>V13</f>
        <v>22.578420600240001</v>
      </c>
      <c r="L78" s="8" t="s">
        <v>70</v>
      </c>
      <c r="M78" s="9">
        <f>K12</f>
        <v>3476405</v>
      </c>
      <c r="N78" s="8" t="s">
        <v>71</v>
      </c>
      <c r="O78" s="938" t="s">
        <v>72</v>
      </c>
      <c r="P78" s="939"/>
    </row>
    <row r="79" spans="1:18" x14ac:dyDescent="0.25">
      <c r="A79" s="1"/>
      <c r="B79" s="6"/>
      <c r="C79" s="7" t="s">
        <v>71</v>
      </c>
      <c r="D79" s="940" t="s">
        <v>279</v>
      </c>
      <c r="E79" s="941"/>
      <c r="F79" s="6">
        <v>2000</v>
      </c>
      <c r="G79" s="7" t="s">
        <v>70</v>
      </c>
      <c r="J79" s="24"/>
      <c r="K79" s="6"/>
      <c r="L79" s="7" t="s">
        <v>71</v>
      </c>
      <c r="M79" s="940" t="s">
        <v>279</v>
      </c>
      <c r="N79" s="941"/>
      <c r="O79" s="6">
        <v>2000</v>
      </c>
      <c r="P79" s="7" t="s">
        <v>70</v>
      </c>
    </row>
    <row r="82" spans="1:16" x14ac:dyDescent="0.25">
      <c r="A82" s="4" t="s">
        <v>69</v>
      </c>
      <c r="B82" s="3">
        <f>B78*D78/F79</f>
        <v>106713.47099185821</v>
      </c>
      <c r="C82" s="5" t="s">
        <v>72</v>
      </c>
      <c r="D82" s="1"/>
      <c r="E82" s="1"/>
      <c r="F82" s="1"/>
      <c r="G82" s="1"/>
      <c r="J82" s="28" t="s">
        <v>69</v>
      </c>
      <c r="K82" s="3">
        <f>K78*M78/O79</f>
        <v>39245.867133388667</v>
      </c>
      <c r="L82" s="5" t="s">
        <v>72</v>
      </c>
      <c r="M82" s="1"/>
      <c r="N82" s="1"/>
      <c r="O82" s="1"/>
      <c r="P82" s="1"/>
    </row>
    <row r="83" spans="1:16" x14ac:dyDescent="0.25">
      <c r="A83" s="1"/>
      <c r="B83" s="1"/>
      <c r="C83" s="2" t="s">
        <v>279</v>
      </c>
      <c r="D83" s="1"/>
      <c r="E83" s="1"/>
      <c r="F83" s="1"/>
      <c r="G83" s="1"/>
      <c r="J83" s="24"/>
      <c r="K83" s="1"/>
      <c r="L83" s="2" t="s">
        <v>279</v>
      </c>
      <c r="M83" s="1"/>
      <c r="N83" s="1"/>
      <c r="O83" s="1"/>
      <c r="P83" s="1"/>
    </row>
  </sheetData>
  <mergeCells count="21">
    <mergeCell ref="D69:E69"/>
    <mergeCell ref="D59:E59"/>
    <mergeCell ref="F68:G68"/>
    <mergeCell ref="D49:E49"/>
    <mergeCell ref="F58:G58"/>
    <mergeCell ref="F78:G78"/>
    <mergeCell ref="D79:E79"/>
    <mergeCell ref="O78:P78"/>
    <mergeCell ref="M79:N79"/>
    <mergeCell ref="J1:R1"/>
    <mergeCell ref="J3:L3"/>
    <mergeCell ref="A1:I1"/>
    <mergeCell ref="A3:D3"/>
    <mergeCell ref="D29:E29"/>
    <mergeCell ref="H38:I38"/>
    <mergeCell ref="D39:E39"/>
    <mergeCell ref="F48:G48"/>
    <mergeCell ref="F18:G18"/>
    <mergeCell ref="D19:E19"/>
    <mergeCell ref="F28:G28"/>
    <mergeCell ref="F38:G38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3:D37"/>
  <sheetViews>
    <sheetView workbookViewId="0">
      <selection activeCell="A18" sqref="A18:B18"/>
    </sheetView>
  </sheetViews>
  <sheetFormatPr defaultRowHeight="15" x14ac:dyDescent="0.25"/>
  <cols>
    <col min="1" max="1" width="40.7109375" customWidth="1"/>
    <col min="3" max="3" width="17.7109375" customWidth="1"/>
    <col min="4" max="4" width="17.140625" customWidth="1"/>
  </cols>
  <sheetData>
    <row r="3" spans="1:4" ht="15.75" x14ac:dyDescent="0.25">
      <c r="A3" s="903" t="s">
        <v>94</v>
      </c>
      <c r="B3" s="903"/>
      <c r="C3" s="903"/>
      <c r="D3" s="903"/>
    </row>
    <row r="4" spans="1:4" ht="15.75" x14ac:dyDescent="0.25">
      <c r="A4" s="50"/>
      <c r="B4" s="24"/>
      <c r="C4" s="24"/>
      <c r="D4" s="24"/>
    </row>
    <row r="5" spans="1:4" x14ac:dyDescent="0.25">
      <c r="A5" s="899" t="s">
        <v>95</v>
      </c>
      <c r="B5" s="899"/>
      <c r="C5" s="899"/>
      <c r="D5" s="899"/>
    </row>
    <row r="6" spans="1:4" x14ac:dyDescent="0.25">
      <c r="A6" s="899" t="s">
        <v>96</v>
      </c>
      <c r="B6" s="899"/>
      <c r="C6" s="899"/>
      <c r="D6" s="899"/>
    </row>
    <row r="7" spans="1:4" x14ac:dyDescent="0.25">
      <c r="A7" s="911" t="s">
        <v>364</v>
      </c>
      <c r="B7" s="899"/>
      <c r="C7" s="899"/>
      <c r="D7" s="899"/>
    </row>
    <row r="8" spans="1:4" x14ac:dyDescent="0.25">
      <c r="A8" s="26"/>
      <c r="B8" s="26"/>
      <c r="C8" s="26"/>
      <c r="D8" s="26"/>
    </row>
    <row r="9" spans="1:4" x14ac:dyDescent="0.25">
      <c r="A9" s="898" t="s">
        <v>397</v>
      </c>
      <c r="B9" s="898"/>
      <c r="C9" s="898"/>
      <c r="D9" s="898"/>
    </row>
    <row r="10" spans="1:4" ht="16.5" thickBot="1" x14ac:dyDescent="0.3">
      <c r="A10" s="51"/>
      <c r="B10" s="24"/>
      <c r="C10" s="24"/>
      <c r="D10" s="24"/>
    </row>
    <row r="11" spans="1:4" ht="15.75" thickTop="1" x14ac:dyDescent="0.25">
      <c r="A11" s="906" t="s">
        <v>238</v>
      </c>
      <c r="B11" s="948"/>
      <c r="C11" s="951" t="s">
        <v>110</v>
      </c>
      <c r="D11" s="951" t="s">
        <v>111</v>
      </c>
    </row>
    <row r="12" spans="1:4" ht="15.75" thickBot="1" x14ac:dyDescent="0.3">
      <c r="A12" s="949"/>
      <c r="B12" s="950"/>
      <c r="C12" s="952"/>
      <c r="D12" s="952"/>
    </row>
    <row r="13" spans="1:4" ht="16.5" thickTop="1" x14ac:dyDescent="0.25">
      <c r="A13" s="953" t="s">
        <v>101</v>
      </c>
      <c r="B13" s="954"/>
      <c r="C13" s="52">
        <v>2194.88</v>
      </c>
      <c r="D13" s="52">
        <f>'Cálculos AG'!B22+'Cálculos AG'!K22</f>
        <v>34.622342649030003</v>
      </c>
    </row>
    <row r="14" spans="1:4" ht="18.75" x14ac:dyDescent="0.25">
      <c r="A14" s="876" t="s">
        <v>134</v>
      </c>
      <c r="B14" s="876"/>
      <c r="C14" s="73">
        <v>30608.58</v>
      </c>
      <c r="D14" s="53">
        <f>'Cálculos AG'!B32+'Cálculos AG'!K32</f>
        <v>308.07358947345</v>
      </c>
    </row>
    <row r="15" spans="1:4" ht="18.75" x14ac:dyDescent="0.25">
      <c r="A15" s="876" t="s">
        <v>137</v>
      </c>
      <c r="B15" s="876"/>
      <c r="C15" s="74">
        <v>28867.78</v>
      </c>
      <c r="D15" s="54">
        <f>'Cálculos AG'!B42+'Cálculos AG'!K42</f>
        <v>422.07665362500006</v>
      </c>
    </row>
    <row r="16" spans="1:4" ht="15.75" x14ac:dyDescent="0.25">
      <c r="A16" s="876" t="s">
        <v>244</v>
      </c>
      <c r="B16" s="876"/>
      <c r="C16" s="74">
        <v>195.32</v>
      </c>
      <c r="D16" s="54">
        <f>'Cálculos AG'!B52+'Cálculos AG'!K52</f>
        <v>3.3377798194500001</v>
      </c>
    </row>
    <row r="17" spans="1:4" ht="18.75" x14ac:dyDescent="0.25">
      <c r="A17" s="876" t="s">
        <v>135</v>
      </c>
      <c r="B17" s="876"/>
      <c r="C17" s="74">
        <v>1299.54</v>
      </c>
      <c r="D17" s="54">
        <f>'Cálculos AG'!B62+'Cálculos AG'!K62</f>
        <v>22.103632168500003</v>
      </c>
    </row>
    <row r="18" spans="1:4" ht="15.75" x14ac:dyDescent="0.25">
      <c r="A18" s="876" t="s">
        <v>243</v>
      </c>
      <c r="B18" s="876"/>
      <c r="C18" s="74">
        <v>0.63</v>
      </c>
      <c r="D18" s="54">
        <f>'Cálculos AG'!B72+'Cálculos AG'!K72</f>
        <v>9.7944477645000028E-3</v>
      </c>
    </row>
    <row r="19" spans="1:4" ht="19.5" thickBot="1" x14ac:dyDescent="0.3">
      <c r="A19" s="876" t="s">
        <v>313</v>
      </c>
      <c r="B19" s="876"/>
      <c r="C19" s="74"/>
      <c r="D19" s="515">
        <f>'Cálculos AG'!B82+'Cálculos AG'!K82</f>
        <v>145959.33812524687</v>
      </c>
    </row>
    <row r="20" spans="1:4" ht="15.75" customHeight="1" thickTop="1" x14ac:dyDescent="0.25">
      <c r="A20" s="906" t="s">
        <v>251</v>
      </c>
      <c r="B20" s="948"/>
      <c r="C20" s="951" t="s">
        <v>110</v>
      </c>
      <c r="D20" s="951" t="s">
        <v>111</v>
      </c>
    </row>
    <row r="21" spans="1:4" ht="15.75" customHeight="1" thickBot="1" x14ac:dyDescent="0.3">
      <c r="A21" s="949"/>
      <c r="B21" s="950"/>
      <c r="C21" s="952"/>
      <c r="D21" s="952"/>
    </row>
    <row r="22" spans="1:4" ht="15.75" customHeight="1" thickTop="1" x14ac:dyDescent="0.25">
      <c r="A22" s="876" t="s">
        <v>239</v>
      </c>
      <c r="B22" s="876"/>
      <c r="C22" s="74">
        <v>20.71</v>
      </c>
      <c r="D22" s="54">
        <v>0.54910000000000003</v>
      </c>
    </row>
    <row r="23" spans="1:4" ht="15.75" customHeight="1" x14ac:dyDescent="0.25">
      <c r="A23" s="876" t="s">
        <v>240</v>
      </c>
      <c r="B23" s="876"/>
      <c r="C23" s="74">
        <v>19.62</v>
      </c>
      <c r="D23" s="54">
        <v>0.254</v>
      </c>
    </row>
    <row r="24" spans="1:4" ht="15.75" customHeight="1" x14ac:dyDescent="0.25">
      <c r="A24" s="876" t="s">
        <v>241</v>
      </c>
      <c r="B24" s="876"/>
      <c r="C24" s="74">
        <v>14.75</v>
      </c>
      <c r="D24" s="54">
        <v>0.29599999999999999</v>
      </c>
    </row>
    <row r="25" spans="1:4" ht="15.75" customHeight="1" x14ac:dyDescent="0.25">
      <c r="A25" s="876" t="s">
        <v>245</v>
      </c>
      <c r="B25" s="876"/>
      <c r="C25" s="74">
        <v>84.71</v>
      </c>
      <c r="D25" s="54">
        <v>2.25</v>
      </c>
    </row>
    <row r="26" spans="1:4" ht="15.75" customHeight="1" x14ac:dyDescent="0.25">
      <c r="A26" s="876" t="s">
        <v>242</v>
      </c>
      <c r="B26" s="876"/>
      <c r="C26" s="74">
        <v>177.73</v>
      </c>
      <c r="D26" s="54">
        <v>2.0299999999999998</v>
      </c>
    </row>
    <row r="27" spans="1:4" ht="15.75" customHeight="1" x14ac:dyDescent="0.25">
      <c r="A27" s="308"/>
      <c r="B27" s="308"/>
      <c r="C27" s="123"/>
      <c r="D27" s="123"/>
    </row>
    <row r="28" spans="1:4" ht="15.75" customHeight="1" x14ac:dyDescent="0.25">
      <c r="A28" s="309"/>
      <c r="B28" s="309"/>
      <c r="C28" s="124"/>
      <c r="D28" s="124"/>
    </row>
    <row r="29" spans="1:4" ht="15.75" x14ac:dyDescent="0.25">
      <c r="A29" s="51" t="s">
        <v>103</v>
      </c>
      <c r="B29" s="24"/>
      <c r="C29" s="24"/>
      <c r="D29" s="24"/>
    </row>
    <row r="30" spans="1:4" ht="15.75" x14ac:dyDescent="0.25">
      <c r="A30" s="51" t="s">
        <v>104</v>
      </c>
      <c r="B30" s="24"/>
      <c r="C30" s="24"/>
      <c r="D30" s="24"/>
    </row>
    <row r="31" spans="1:4" ht="15.75" x14ac:dyDescent="0.25">
      <c r="A31" s="51" t="s">
        <v>105</v>
      </c>
      <c r="B31" s="24"/>
      <c r="C31" s="24"/>
      <c r="D31" s="24"/>
    </row>
    <row r="32" spans="1:4" ht="15.75" x14ac:dyDescent="0.25">
      <c r="A32" s="51" t="s">
        <v>106</v>
      </c>
      <c r="B32" s="24"/>
      <c r="C32" s="24"/>
      <c r="D32" s="24"/>
    </row>
    <row r="33" spans="1:4" ht="15.75" x14ac:dyDescent="0.25">
      <c r="A33" s="51"/>
      <c r="B33" s="24"/>
      <c r="C33" s="24"/>
      <c r="D33" s="24"/>
    </row>
    <row r="34" spans="1:4" ht="15.75" x14ac:dyDescent="0.25">
      <c r="A34" s="51" t="s">
        <v>107</v>
      </c>
      <c r="B34" s="24"/>
      <c r="C34" s="24"/>
      <c r="D34" s="24"/>
    </row>
    <row r="35" spans="1:4" ht="15.75" x14ac:dyDescent="0.25">
      <c r="A35" s="51"/>
      <c r="B35" s="24"/>
      <c r="C35" s="24"/>
      <c r="D35" s="24"/>
    </row>
    <row r="36" spans="1:4" ht="15.75" x14ac:dyDescent="0.25">
      <c r="A36" s="51" t="s">
        <v>314</v>
      </c>
      <c r="B36" s="24"/>
      <c r="C36" s="24"/>
      <c r="D36" s="24"/>
    </row>
    <row r="37" spans="1:4" ht="15.75" x14ac:dyDescent="0.25">
      <c r="A37" s="51"/>
      <c r="B37" s="24"/>
      <c r="C37" s="24"/>
      <c r="D37" s="24"/>
    </row>
  </sheetData>
  <mergeCells count="23">
    <mergeCell ref="A3:D3"/>
    <mergeCell ref="A5:D5"/>
    <mergeCell ref="A6:D6"/>
    <mergeCell ref="A7:D7"/>
    <mergeCell ref="A9:D9"/>
    <mergeCell ref="A19:B19"/>
    <mergeCell ref="A20:B21"/>
    <mergeCell ref="C20:C21"/>
    <mergeCell ref="D20:D21"/>
    <mergeCell ref="A11:B12"/>
    <mergeCell ref="C11:C12"/>
    <mergeCell ref="D11:D12"/>
    <mergeCell ref="A18:B18"/>
    <mergeCell ref="A13:B13"/>
    <mergeCell ref="A14:B14"/>
    <mergeCell ref="A15:B15"/>
    <mergeCell ref="A16:B16"/>
    <mergeCell ref="A17:B17"/>
    <mergeCell ref="A26:B26"/>
    <mergeCell ref="A22:B22"/>
    <mergeCell ref="A23:B23"/>
    <mergeCell ref="A24:B24"/>
    <mergeCell ref="A25:B2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P55"/>
  <sheetViews>
    <sheetView topLeftCell="A6" workbookViewId="0">
      <selection activeCell="E29" sqref="E29"/>
    </sheetView>
  </sheetViews>
  <sheetFormatPr defaultColWidth="8.85546875" defaultRowHeight="15" x14ac:dyDescent="0.25"/>
  <cols>
    <col min="1" max="1" width="10.7109375" style="327" customWidth="1"/>
    <col min="2" max="2" width="17.5703125" style="327" customWidth="1"/>
    <col min="3" max="3" width="14.42578125" style="327" customWidth="1"/>
    <col min="4" max="4" width="14.7109375" style="327" customWidth="1"/>
    <col min="5" max="5" width="14.140625" style="327" customWidth="1"/>
    <col min="6" max="6" width="9.5703125" style="327" bestFit="1" customWidth="1"/>
    <col min="7" max="7" width="8.85546875" style="327"/>
    <col min="8" max="8" width="13.85546875" style="327" customWidth="1"/>
    <col min="9" max="9" width="8.85546875" style="327"/>
    <col min="10" max="10" width="10" style="327" customWidth="1"/>
    <col min="11" max="11" width="16.42578125" style="327" customWidth="1"/>
    <col min="12" max="12" width="14.5703125" style="327" customWidth="1"/>
    <col min="13" max="16384" width="8.85546875" style="327"/>
  </cols>
  <sheetData>
    <row r="1" spans="1:16" ht="15.75" thickBot="1" x14ac:dyDescent="0.3"/>
    <row r="2" spans="1:16" ht="15.75" thickBot="1" x14ac:dyDescent="0.3">
      <c r="A2" s="880" t="s">
        <v>432</v>
      </c>
      <c r="B2" s="881"/>
      <c r="C2" s="881"/>
      <c r="D2" s="881"/>
      <c r="E2" s="881"/>
      <c r="F2" s="881"/>
      <c r="G2" s="881"/>
      <c r="H2" s="881"/>
      <c r="I2" s="882"/>
    </row>
    <row r="3" spans="1:16" ht="15.75" thickBot="1" x14ac:dyDescent="0.3">
      <c r="A3" s="956" t="s">
        <v>267</v>
      </c>
      <c r="B3" s="957"/>
      <c r="C3" s="957"/>
      <c r="D3" s="957"/>
      <c r="E3" s="883"/>
      <c r="F3" s="956" t="s">
        <v>130</v>
      </c>
      <c r="G3" s="957"/>
      <c r="H3" s="957"/>
      <c r="I3" s="958"/>
      <c r="M3" s="929"/>
      <c r="N3" s="929"/>
      <c r="O3" s="929"/>
      <c r="P3" s="929"/>
    </row>
    <row r="4" spans="1:16" ht="15.75" thickBot="1" x14ac:dyDescent="0.3">
      <c r="A4" s="359" t="s">
        <v>5</v>
      </c>
      <c r="B4" s="336" t="s">
        <v>22</v>
      </c>
      <c r="C4" s="404" t="s">
        <v>23</v>
      </c>
      <c r="D4" s="404" t="s">
        <v>24</v>
      </c>
      <c r="E4" s="335" t="s">
        <v>25</v>
      </c>
      <c r="F4" s="392" t="s">
        <v>22</v>
      </c>
      <c r="G4" s="404" t="s">
        <v>23</v>
      </c>
      <c r="H4" s="404" t="s">
        <v>24</v>
      </c>
      <c r="I4" s="337" t="s">
        <v>25</v>
      </c>
      <c r="M4" s="377"/>
      <c r="N4" s="377"/>
      <c r="O4" s="377"/>
      <c r="P4" s="377"/>
    </row>
    <row r="5" spans="1:16" x14ac:dyDescent="0.25">
      <c r="A5" s="696">
        <v>46023</v>
      </c>
      <c r="B5" s="657">
        <v>0</v>
      </c>
      <c r="C5" s="658">
        <v>0</v>
      </c>
      <c r="D5" s="657"/>
      <c r="E5" s="658"/>
      <c r="F5" s="657"/>
      <c r="G5" s="659"/>
      <c r="H5" s="657"/>
      <c r="I5" s="660"/>
      <c r="M5" s="379"/>
      <c r="N5" s="379"/>
      <c r="O5" s="379"/>
      <c r="P5" s="379"/>
    </row>
    <row r="6" spans="1:16" x14ac:dyDescent="0.25">
      <c r="A6" s="738">
        <v>46054</v>
      </c>
      <c r="B6" s="744">
        <v>0</v>
      </c>
      <c r="C6" s="745">
        <v>0</v>
      </c>
      <c r="D6" s="746">
        <v>0</v>
      </c>
      <c r="E6" s="747">
        <v>4217354</v>
      </c>
      <c r="F6" s="744" t="s">
        <v>183</v>
      </c>
      <c r="G6" s="748" t="s">
        <v>183</v>
      </c>
      <c r="H6" s="744">
        <v>0.46</v>
      </c>
      <c r="I6" s="749">
        <v>0.46</v>
      </c>
      <c r="M6" s="379"/>
      <c r="N6" s="379"/>
      <c r="O6" s="379"/>
      <c r="P6" s="379"/>
    </row>
    <row r="7" spans="1:16" x14ac:dyDescent="0.25">
      <c r="A7" s="697">
        <v>46082</v>
      </c>
      <c r="B7" s="661">
        <v>0</v>
      </c>
      <c r="C7" s="662">
        <v>0</v>
      </c>
      <c r="D7" s="694"/>
      <c r="E7" s="695"/>
      <c r="F7" s="661"/>
      <c r="G7" s="663"/>
      <c r="H7" s="661"/>
      <c r="I7" s="664"/>
      <c r="M7" s="379"/>
      <c r="N7" s="379"/>
      <c r="O7" s="379"/>
      <c r="P7" s="379"/>
    </row>
    <row r="8" spans="1:16" x14ac:dyDescent="0.25">
      <c r="A8" s="697">
        <v>46113</v>
      </c>
      <c r="B8" s="661">
        <v>0</v>
      </c>
      <c r="C8" s="662">
        <v>0</v>
      </c>
      <c r="D8" s="661"/>
      <c r="E8" s="662"/>
      <c r="F8" s="661" t="s">
        <v>183</v>
      </c>
      <c r="G8" s="663" t="s">
        <v>183</v>
      </c>
      <c r="H8" s="661"/>
      <c r="I8" s="664"/>
      <c r="M8" s="379"/>
      <c r="N8" s="379"/>
      <c r="O8" s="379"/>
      <c r="P8" s="379"/>
    </row>
    <row r="9" spans="1:16" x14ac:dyDescent="0.25">
      <c r="A9" s="697">
        <v>46143</v>
      </c>
      <c r="B9" s="661">
        <v>0</v>
      </c>
      <c r="C9" s="662">
        <v>0</v>
      </c>
      <c r="D9" s="661"/>
      <c r="E9" s="662"/>
      <c r="F9" s="661" t="s">
        <v>183</v>
      </c>
      <c r="G9" s="663" t="s">
        <v>183</v>
      </c>
      <c r="H9" s="661"/>
      <c r="I9" s="664"/>
      <c r="M9" s="379"/>
      <c r="N9" s="379"/>
      <c r="O9" s="379"/>
      <c r="P9" s="379"/>
    </row>
    <row r="10" spans="1:16" x14ac:dyDescent="0.25">
      <c r="A10" s="697">
        <v>46174</v>
      </c>
      <c r="B10" s="661">
        <v>0</v>
      </c>
      <c r="C10" s="662">
        <v>0</v>
      </c>
      <c r="D10" s="661"/>
      <c r="E10" s="662"/>
      <c r="F10" s="661" t="s">
        <v>183</v>
      </c>
      <c r="G10" s="663" t="s">
        <v>183</v>
      </c>
      <c r="H10" s="661"/>
      <c r="I10" s="664"/>
      <c r="M10" s="379"/>
      <c r="N10" s="379"/>
      <c r="O10" s="379"/>
      <c r="P10" s="379"/>
    </row>
    <row r="11" spans="1:16" x14ac:dyDescent="0.25">
      <c r="A11" s="697">
        <v>46204</v>
      </c>
      <c r="B11" s="665">
        <v>0</v>
      </c>
      <c r="C11" s="666">
        <v>0</v>
      </c>
      <c r="D11" s="665"/>
      <c r="E11" s="666"/>
      <c r="F11" s="665" t="s">
        <v>183</v>
      </c>
      <c r="G11" s="667" t="s">
        <v>183</v>
      </c>
      <c r="H11" s="665"/>
      <c r="I11" s="668"/>
      <c r="M11" s="426"/>
      <c r="N11" s="426"/>
      <c r="O11" s="426"/>
      <c r="P11" s="426"/>
    </row>
    <row r="12" spans="1:16" x14ac:dyDescent="0.25">
      <c r="A12" s="697">
        <v>46235</v>
      </c>
      <c r="B12" s="665">
        <v>0</v>
      </c>
      <c r="C12" s="666">
        <v>0</v>
      </c>
      <c r="D12" s="665"/>
      <c r="E12" s="666"/>
      <c r="F12" s="665" t="s">
        <v>183</v>
      </c>
      <c r="G12" s="667" t="s">
        <v>183</v>
      </c>
      <c r="H12" s="665"/>
      <c r="I12" s="668"/>
      <c r="M12" s="426"/>
      <c r="N12" s="426"/>
      <c r="O12" s="426"/>
      <c r="P12" s="426"/>
    </row>
    <row r="13" spans="1:16" x14ac:dyDescent="0.25">
      <c r="A13" s="697">
        <v>46266</v>
      </c>
      <c r="B13" s="665">
        <v>0</v>
      </c>
      <c r="C13" s="666">
        <v>0</v>
      </c>
      <c r="D13" s="665"/>
      <c r="E13" s="666"/>
      <c r="F13" s="665" t="s">
        <v>183</v>
      </c>
      <c r="G13" s="667" t="s">
        <v>183</v>
      </c>
      <c r="H13" s="665"/>
      <c r="I13" s="668"/>
      <c r="M13" s="426"/>
      <c r="N13" s="426"/>
      <c r="O13" s="426"/>
      <c r="P13" s="426"/>
    </row>
    <row r="14" spans="1:16" x14ac:dyDescent="0.25">
      <c r="A14" s="697">
        <v>46296</v>
      </c>
      <c r="B14" s="665">
        <v>0</v>
      </c>
      <c r="C14" s="666">
        <v>0</v>
      </c>
      <c r="D14" s="665"/>
      <c r="E14" s="666"/>
      <c r="F14" s="665" t="s">
        <v>183</v>
      </c>
      <c r="G14" s="667" t="s">
        <v>183</v>
      </c>
      <c r="H14" s="665"/>
      <c r="I14" s="668"/>
      <c r="K14" s="425"/>
      <c r="M14" s="426"/>
      <c r="N14" s="426"/>
      <c r="O14" s="426"/>
      <c r="P14" s="426"/>
    </row>
    <row r="15" spans="1:16" x14ac:dyDescent="0.25">
      <c r="A15" s="697">
        <v>46327</v>
      </c>
      <c r="B15" s="661">
        <v>0</v>
      </c>
      <c r="C15" s="666">
        <v>0</v>
      </c>
      <c r="D15" s="661"/>
      <c r="E15" s="666"/>
      <c r="F15" s="661" t="s">
        <v>183</v>
      </c>
      <c r="G15" s="667" t="s">
        <v>183</v>
      </c>
      <c r="H15" s="661"/>
      <c r="I15" s="664"/>
      <c r="M15" s="426"/>
      <c r="N15" s="426"/>
      <c r="O15" s="426"/>
      <c r="P15" s="426"/>
    </row>
    <row r="16" spans="1:16" ht="15.75" thickBot="1" x14ac:dyDescent="0.3">
      <c r="A16" s="698">
        <v>46357</v>
      </c>
      <c r="B16" s="669">
        <v>0</v>
      </c>
      <c r="C16" s="670">
        <v>0</v>
      </c>
      <c r="D16" s="669"/>
      <c r="E16" s="670"/>
      <c r="F16" s="669" t="s">
        <v>183</v>
      </c>
      <c r="G16" s="671" t="s">
        <v>183</v>
      </c>
      <c r="H16" s="669"/>
      <c r="I16" s="672"/>
      <c r="M16" s="426"/>
      <c r="N16" s="426"/>
      <c r="O16" s="426"/>
      <c r="P16" s="426"/>
    </row>
    <row r="17" spans="1:16" ht="15.75" thickBot="1" x14ac:dyDescent="0.3">
      <c r="A17" s="359" t="s">
        <v>4</v>
      </c>
      <c r="B17" s="432">
        <f>SUM(B5:B16)</f>
        <v>0</v>
      </c>
      <c r="C17" s="418">
        <f>SUM(C5:C16)</f>
        <v>0</v>
      </c>
      <c r="D17" s="418">
        <f>SUM(D5:D16)</f>
        <v>0</v>
      </c>
      <c r="E17" s="433">
        <f>SUM(E5:E16)</f>
        <v>4217354</v>
      </c>
      <c r="F17" s="424" t="e">
        <f>AVERAGE(F5:F10)</f>
        <v>#DIV/0!</v>
      </c>
      <c r="G17" s="413" t="e">
        <f>AVERAGE(G5:G10)</f>
        <v>#DIV/0!</v>
      </c>
      <c r="H17" s="416">
        <f>AVERAGE(H5:H16)</f>
        <v>0.46</v>
      </c>
      <c r="I17" s="416">
        <f>AVERAGE(I5:I16)</f>
        <v>0.46</v>
      </c>
      <c r="M17" s="414"/>
      <c r="N17" s="414"/>
      <c r="O17" s="414"/>
      <c r="P17" s="414"/>
    </row>
    <row r="18" spans="1:16" ht="30.75" thickBot="1" x14ac:dyDescent="0.3">
      <c r="A18" s="434" t="s">
        <v>143</v>
      </c>
      <c r="B18" s="435">
        <f>B17</f>
        <v>0</v>
      </c>
      <c r="C18" s="435">
        <f t="shared" ref="C18:E18" si="0">C17</f>
        <v>0</v>
      </c>
      <c r="D18" s="435">
        <f t="shared" si="0"/>
        <v>0</v>
      </c>
      <c r="E18" s="435">
        <f t="shared" si="0"/>
        <v>4217354</v>
      </c>
      <c r="F18" s="424" t="e">
        <f>AVERAGE(F5:F16)</f>
        <v>#DIV/0!</v>
      </c>
      <c r="G18" s="413" t="e">
        <f>AVERAGE(G5:G16)</f>
        <v>#DIV/0!</v>
      </c>
      <c r="H18" s="413">
        <f>AVERAGE(H5:H16)</f>
        <v>0.46</v>
      </c>
      <c r="I18" s="416">
        <f>AVERAGE(I5:I16)</f>
        <v>0.46</v>
      </c>
    </row>
    <row r="20" spans="1:16" ht="15.75" thickBot="1" x14ac:dyDescent="0.3">
      <c r="A20" s="955" t="s">
        <v>431</v>
      </c>
      <c r="B20" s="929"/>
      <c r="C20" s="929"/>
      <c r="D20" s="929"/>
      <c r="E20" s="929"/>
      <c r="F20" s="929"/>
      <c r="G20" s="929"/>
      <c r="H20" s="929"/>
      <c r="I20" s="929"/>
      <c r="J20" s="929"/>
      <c r="K20" s="929"/>
      <c r="L20" s="929"/>
    </row>
    <row r="21" spans="1:16" ht="15.75" thickBot="1" x14ac:dyDescent="0.3">
      <c r="A21" s="884" t="s">
        <v>5</v>
      </c>
      <c r="B21" s="880" t="s">
        <v>267</v>
      </c>
      <c r="C21" s="881"/>
      <c r="D21" s="881"/>
      <c r="E21" s="882"/>
      <c r="F21" s="881" t="s">
        <v>130</v>
      </c>
      <c r="G21" s="881"/>
      <c r="H21" s="881"/>
      <c r="I21" s="882"/>
      <c r="J21" s="884" t="s">
        <v>5</v>
      </c>
      <c r="K21" s="880" t="s">
        <v>30</v>
      </c>
      <c r="L21" s="882"/>
      <c r="M21" s="880" t="s">
        <v>130</v>
      </c>
      <c r="N21" s="882"/>
    </row>
    <row r="22" spans="1:16" ht="15.75" thickBot="1" x14ac:dyDescent="0.3">
      <c r="A22" s="885"/>
      <c r="B22" s="392" t="s">
        <v>26</v>
      </c>
      <c r="C22" s="404" t="s">
        <v>27</v>
      </c>
      <c r="D22" s="404" t="s">
        <v>28</v>
      </c>
      <c r="E22" s="337" t="s">
        <v>29</v>
      </c>
      <c r="F22" s="334" t="s">
        <v>26</v>
      </c>
      <c r="G22" s="404" t="s">
        <v>27</v>
      </c>
      <c r="H22" s="404" t="s">
        <v>28</v>
      </c>
      <c r="I22" s="337" t="s">
        <v>29</v>
      </c>
      <c r="J22" s="885"/>
      <c r="K22" s="359" t="s">
        <v>151</v>
      </c>
      <c r="L22" s="337" t="s">
        <v>152</v>
      </c>
      <c r="M22" s="400" t="s">
        <v>151</v>
      </c>
      <c r="N22" s="436" t="s">
        <v>152</v>
      </c>
    </row>
    <row r="23" spans="1:16" x14ac:dyDescent="0.25">
      <c r="A23" s="338">
        <f t="shared" ref="A23:A34" si="1">A5</f>
        <v>46023</v>
      </c>
      <c r="B23" s="365"/>
      <c r="C23" s="365"/>
      <c r="D23" s="365"/>
      <c r="E23" s="369"/>
      <c r="F23" s="365"/>
      <c r="G23" s="365"/>
      <c r="H23" s="365"/>
      <c r="I23" s="369"/>
      <c r="J23" s="696">
        <v>46023</v>
      </c>
      <c r="K23" s="365"/>
      <c r="L23" s="437"/>
      <c r="M23" s="365"/>
      <c r="N23" s="438"/>
    </row>
    <row r="24" spans="1:16" x14ac:dyDescent="0.25">
      <c r="A24" s="736">
        <f t="shared" si="1"/>
        <v>46054</v>
      </c>
      <c r="B24" s="750">
        <v>80964</v>
      </c>
      <c r="C24" s="750">
        <v>0</v>
      </c>
      <c r="D24" s="750">
        <v>0</v>
      </c>
      <c r="E24" s="751">
        <v>0</v>
      </c>
      <c r="F24" s="750">
        <v>0.01</v>
      </c>
      <c r="G24" s="750">
        <v>0.01</v>
      </c>
      <c r="H24" s="750">
        <v>0.01</v>
      </c>
      <c r="I24" s="751">
        <v>0.01</v>
      </c>
      <c r="J24" s="738">
        <v>46054</v>
      </c>
      <c r="K24" s="750">
        <v>0</v>
      </c>
      <c r="L24" s="752">
        <v>0</v>
      </c>
      <c r="M24" s="750">
        <v>0.01</v>
      </c>
      <c r="N24" s="753">
        <v>0.01</v>
      </c>
    </row>
    <row r="25" spans="1:16" x14ac:dyDescent="0.25">
      <c r="A25" s="340">
        <f t="shared" si="1"/>
        <v>46082</v>
      </c>
      <c r="B25" s="365"/>
      <c r="C25" s="365"/>
      <c r="D25" s="365"/>
      <c r="E25" s="369"/>
      <c r="F25" s="365"/>
      <c r="G25" s="365"/>
      <c r="H25" s="365"/>
      <c r="I25" s="369"/>
      <c r="J25" s="697">
        <v>46082</v>
      </c>
      <c r="K25" s="365"/>
      <c r="L25" s="427"/>
      <c r="M25" s="365"/>
      <c r="N25" s="439"/>
    </row>
    <row r="26" spans="1:16" x14ac:dyDescent="0.25">
      <c r="A26" s="340">
        <f t="shared" si="1"/>
        <v>46113</v>
      </c>
      <c r="B26" s="365"/>
      <c r="C26" s="365"/>
      <c r="D26" s="365"/>
      <c r="E26" s="369"/>
      <c r="F26" s="365"/>
      <c r="G26" s="365"/>
      <c r="H26" s="365"/>
      <c r="I26" s="369"/>
      <c r="J26" s="697">
        <v>46113</v>
      </c>
      <c r="K26" s="365"/>
      <c r="L26" s="427"/>
      <c r="M26" s="365"/>
      <c r="N26" s="439"/>
    </row>
    <row r="27" spans="1:16" x14ac:dyDescent="0.25">
      <c r="A27" s="340">
        <f t="shared" si="1"/>
        <v>46143</v>
      </c>
      <c r="B27" s="365"/>
      <c r="C27" s="365"/>
      <c r="D27" s="365"/>
      <c r="E27" s="369"/>
      <c r="F27" s="365"/>
      <c r="G27" s="365"/>
      <c r="H27" s="365"/>
      <c r="I27" s="369"/>
      <c r="J27" s="697">
        <v>46143</v>
      </c>
      <c r="K27" s="365"/>
      <c r="L27" s="427"/>
      <c r="M27" s="365"/>
      <c r="N27" s="439"/>
    </row>
    <row r="28" spans="1:16" x14ac:dyDescent="0.25">
      <c r="A28" s="340">
        <f t="shared" si="1"/>
        <v>46174</v>
      </c>
      <c r="B28" s="365"/>
      <c r="C28" s="365"/>
      <c r="D28" s="365"/>
      <c r="E28" s="369"/>
      <c r="F28" s="365"/>
      <c r="G28" s="365"/>
      <c r="H28" s="365"/>
      <c r="I28" s="369"/>
      <c r="J28" s="697">
        <v>46174</v>
      </c>
      <c r="K28" s="365"/>
      <c r="L28" s="427"/>
      <c r="M28" s="365"/>
      <c r="N28" s="439"/>
    </row>
    <row r="29" spans="1:16" x14ac:dyDescent="0.25">
      <c r="A29" s="345">
        <f t="shared" si="1"/>
        <v>46204</v>
      </c>
      <c r="B29" s="369"/>
      <c r="C29" s="369"/>
      <c r="D29" s="369"/>
      <c r="E29" s="369"/>
      <c r="F29" s="369"/>
      <c r="G29" s="369"/>
      <c r="H29" s="369"/>
      <c r="I29" s="369"/>
      <c r="J29" s="697">
        <v>46204</v>
      </c>
      <c r="K29" s="369"/>
      <c r="L29" s="428"/>
      <c r="M29" s="369"/>
      <c r="N29" s="440"/>
    </row>
    <row r="30" spans="1:16" x14ac:dyDescent="0.25">
      <c r="A30" s="345">
        <f t="shared" si="1"/>
        <v>46235</v>
      </c>
      <c r="B30" s="369"/>
      <c r="C30" s="369"/>
      <c r="D30" s="369"/>
      <c r="E30" s="369"/>
      <c r="F30" s="369"/>
      <c r="G30" s="369"/>
      <c r="H30" s="369"/>
      <c r="I30" s="369"/>
      <c r="J30" s="697">
        <v>46235</v>
      </c>
      <c r="K30" s="369"/>
      <c r="L30" s="429"/>
      <c r="M30" s="369"/>
      <c r="N30" s="441"/>
    </row>
    <row r="31" spans="1:16" x14ac:dyDescent="0.25">
      <c r="A31" s="345">
        <f t="shared" si="1"/>
        <v>46266</v>
      </c>
      <c r="B31" s="369"/>
      <c r="C31" s="369"/>
      <c r="D31" s="369"/>
      <c r="E31" s="369"/>
      <c r="F31" s="369"/>
      <c r="G31" s="369"/>
      <c r="H31" s="369"/>
      <c r="I31" s="369"/>
      <c r="J31" s="697">
        <v>46266</v>
      </c>
      <c r="K31" s="369"/>
      <c r="L31" s="429"/>
      <c r="M31" s="369"/>
      <c r="N31" s="441"/>
    </row>
    <row r="32" spans="1:16" x14ac:dyDescent="0.25">
      <c r="A32" s="345">
        <f t="shared" si="1"/>
        <v>46296</v>
      </c>
      <c r="B32" s="369"/>
      <c r="C32" s="369"/>
      <c r="D32" s="369"/>
      <c r="E32" s="369"/>
      <c r="F32" s="369"/>
      <c r="G32" s="369"/>
      <c r="H32" s="369"/>
      <c r="I32" s="369"/>
      <c r="J32" s="697">
        <v>46296</v>
      </c>
      <c r="K32" s="369"/>
      <c r="L32" s="429"/>
      <c r="M32" s="369"/>
      <c r="N32" s="441"/>
    </row>
    <row r="33" spans="1:14" x14ac:dyDescent="0.25">
      <c r="A33" s="345">
        <f t="shared" si="1"/>
        <v>46327</v>
      </c>
      <c r="B33" s="369"/>
      <c r="C33" s="369"/>
      <c r="D33" s="369"/>
      <c r="E33" s="369"/>
      <c r="F33" s="369"/>
      <c r="G33" s="369"/>
      <c r="H33" s="369"/>
      <c r="I33" s="369"/>
      <c r="J33" s="697">
        <v>46327</v>
      </c>
      <c r="K33" s="369"/>
      <c r="L33" s="430"/>
      <c r="M33" s="369"/>
      <c r="N33" s="442"/>
    </row>
    <row r="34" spans="1:14" ht="15.75" thickBot="1" x14ac:dyDescent="0.3">
      <c r="A34" s="345">
        <f t="shared" si="1"/>
        <v>46357</v>
      </c>
      <c r="B34" s="369"/>
      <c r="C34" s="369"/>
      <c r="D34" s="369"/>
      <c r="E34" s="369"/>
      <c r="F34" s="369"/>
      <c r="G34" s="369"/>
      <c r="H34" s="369"/>
      <c r="I34" s="369"/>
      <c r="J34" s="698">
        <v>46357</v>
      </c>
      <c r="K34" s="369"/>
      <c r="L34" s="431"/>
      <c r="M34" s="369"/>
      <c r="N34" s="443"/>
    </row>
    <row r="35" spans="1:14" ht="15.75" thickBot="1" x14ac:dyDescent="0.3">
      <c r="A35" s="359" t="s">
        <v>4</v>
      </c>
      <c r="B35" s="423">
        <f>SUM(B23:B34)</f>
        <v>80964</v>
      </c>
      <c r="C35" s="423">
        <f t="shared" ref="C35:E35" si="2">SUM(C23:C34)</f>
        <v>0</v>
      </c>
      <c r="D35" s="423">
        <f t="shared" si="2"/>
        <v>0</v>
      </c>
      <c r="E35" s="423">
        <f t="shared" si="2"/>
        <v>0</v>
      </c>
      <c r="F35" s="397">
        <f>AVERAGE(F23:F34)</f>
        <v>0.01</v>
      </c>
      <c r="G35" s="444">
        <f>AVERAGE(G23:G34)</f>
        <v>0.01</v>
      </c>
      <c r="H35" s="432">
        <f>AVERAGE(H23:H34)</f>
        <v>0.01</v>
      </c>
      <c r="I35" s="444">
        <f>AVERAGE(I23:I28)</f>
        <v>0.01</v>
      </c>
      <c r="J35" s="359" t="s">
        <v>4</v>
      </c>
      <c r="K35" s="423">
        <f>SUM(K23:K34)</f>
        <v>0</v>
      </c>
      <c r="L35" s="423">
        <f>SUM(L23:L34)</f>
        <v>0</v>
      </c>
      <c r="M35" s="445">
        <f>AVERAGE(M23:M34)</f>
        <v>0.01</v>
      </c>
      <c r="N35" s="348">
        <f>AVERAGE(N23:N34)</f>
        <v>0.01</v>
      </c>
    </row>
    <row r="36" spans="1:14" ht="30.75" thickBot="1" x14ac:dyDescent="0.3">
      <c r="A36" s="434" t="s">
        <v>143</v>
      </c>
      <c r="B36" s="446">
        <f>B35</f>
        <v>80964</v>
      </c>
      <c r="C36" s="447">
        <f t="shared" ref="C36:E36" si="3">C35</f>
        <v>0</v>
      </c>
      <c r="D36" s="447">
        <f t="shared" si="3"/>
        <v>0</v>
      </c>
      <c r="E36" s="448">
        <f t="shared" si="3"/>
        <v>0</v>
      </c>
      <c r="J36" s="449" t="s">
        <v>143</v>
      </c>
      <c r="K36" s="446">
        <f>K35*42</f>
        <v>0</v>
      </c>
      <c r="L36" s="448">
        <f>L35*42</f>
        <v>0</v>
      </c>
    </row>
    <row r="37" spans="1:14" x14ac:dyDescent="0.25">
      <c r="B37" s="368">
        <f>SUM(B29:B34)*42</f>
        <v>0</v>
      </c>
      <c r="C37" s="368">
        <f t="shared" ref="C37:L37" si="4">SUM(C29:C34)*42</f>
        <v>0</v>
      </c>
      <c r="D37" s="368">
        <f t="shared" si="4"/>
        <v>0</v>
      </c>
      <c r="E37" s="368">
        <f t="shared" si="4"/>
        <v>0</v>
      </c>
      <c r="F37" s="368"/>
      <c r="G37" s="368"/>
      <c r="H37" s="368"/>
      <c r="I37" s="368"/>
      <c r="J37" s="368"/>
      <c r="K37" s="368">
        <f t="shared" si="4"/>
        <v>0</v>
      </c>
      <c r="L37" s="368">
        <f t="shared" si="4"/>
        <v>0</v>
      </c>
    </row>
    <row r="38" spans="1:14" x14ac:dyDescent="0.25">
      <c r="H38" s="425">
        <f>SUM(B36+C36+D36+E36+K36+L36)</f>
        <v>80964</v>
      </c>
    </row>
    <row r="39" spans="1:14" ht="15.75" thickBot="1" x14ac:dyDescent="0.3">
      <c r="A39" s="382" t="s">
        <v>339</v>
      </c>
      <c r="K39" s="368">
        <f>AVERAGE(M35,I35,G35,F35)</f>
        <v>0.01</v>
      </c>
    </row>
    <row r="40" spans="1:14" ht="15.75" thickBot="1" x14ac:dyDescent="0.3">
      <c r="A40" s="884" t="s">
        <v>5</v>
      </c>
      <c r="B40" s="880" t="s">
        <v>340</v>
      </c>
      <c r="C40" s="881"/>
      <c r="D40" s="881"/>
      <c r="E40" s="882"/>
      <c r="F40" s="880" t="s">
        <v>341</v>
      </c>
      <c r="G40" s="881"/>
      <c r="H40" s="881"/>
      <c r="I40" s="882"/>
    </row>
    <row r="41" spans="1:14" ht="15.75" thickBot="1" x14ac:dyDescent="0.3">
      <c r="A41" s="885"/>
      <c r="B41" s="392" t="s">
        <v>342</v>
      </c>
      <c r="C41" s="404" t="s">
        <v>343</v>
      </c>
      <c r="D41" s="404" t="s">
        <v>344</v>
      </c>
      <c r="E41" s="337" t="s">
        <v>32</v>
      </c>
      <c r="F41" s="392" t="s">
        <v>345</v>
      </c>
      <c r="G41" s="404" t="s">
        <v>346</v>
      </c>
      <c r="H41" s="404" t="s">
        <v>347</v>
      </c>
      <c r="I41" s="337" t="s">
        <v>32</v>
      </c>
    </row>
    <row r="42" spans="1:14" x14ac:dyDescent="0.25">
      <c r="A42" s="338">
        <f>A23</f>
        <v>46023</v>
      </c>
      <c r="B42" s="520"/>
      <c r="C42" s="520"/>
      <c r="D42" s="520"/>
      <c r="E42" s="521">
        <f>SUM(B42:D42)</f>
        <v>0</v>
      </c>
      <c r="F42" s="520"/>
      <c r="G42" s="520"/>
      <c r="H42" s="520"/>
      <c r="I42" s="521">
        <f>SUM(F42:H42)</f>
        <v>0</v>
      </c>
    </row>
    <row r="43" spans="1:14" x14ac:dyDescent="0.25">
      <c r="A43" s="754">
        <f t="shared" ref="A43:A53" si="5">A24</f>
        <v>46054</v>
      </c>
      <c r="B43" s="755">
        <v>155686</v>
      </c>
      <c r="C43" s="755">
        <v>3312</v>
      </c>
      <c r="D43" s="755">
        <v>4510</v>
      </c>
      <c r="E43" s="756">
        <f t="shared" ref="E43:E53" si="6">SUM(B43:D43)</f>
        <v>163508</v>
      </c>
      <c r="F43" s="755">
        <v>0</v>
      </c>
      <c r="G43" s="755">
        <v>0</v>
      </c>
      <c r="H43" s="755">
        <v>0</v>
      </c>
      <c r="I43" s="756">
        <f t="shared" ref="I43:I53" si="7">SUM(F43:H43)</f>
        <v>0</v>
      </c>
    </row>
    <row r="44" spans="1:14" x14ac:dyDescent="0.25">
      <c r="A44" s="522">
        <f t="shared" si="5"/>
        <v>46082</v>
      </c>
      <c r="B44" s="520"/>
      <c r="C44" s="520"/>
      <c r="D44" s="520"/>
      <c r="E44" s="521">
        <f t="shared" si="6"/>
        <v>0</v>
      </c>
      <c r="F44" s="520"/>
      <c r="G44" s="520"/>
      <c r="H44" s="520"/>
      <c r="I44" s="521">
        <f t="shared" si="7"/>
        <v>0</v>
      </c>
    </row>
    <row r="45" spans="1:14" x14ac:dyDescent="0.25">
      <c r="A45" s="522">
        <f t="shared" si="5"/>
        <v>46113</v>
      </c>
      <c r="B45" s="520"/>
      <c r="C45" s="520"/>
      <c r="D45" s="520"/>
      <c r="E45" s="521">
        <f t="shared" si="6"/>
        <v>0</v>
      </c>
      <c r="F45" s="520"/>
      <c r="G45" s="520"/>
      <c r="H45" s="520"/>
      <c r="I45" s="521">
        <f t="shared" si="7"/>
        <v>0</v>
      </c>
    </row>
    <row r="46" spans="1:14" x14ac:dyDescent="0.25">
      <c r="A46" s="522">
        <f t="shared" si="5"/>
        <v>46143</v>
      </c>
      <c r="B46" s="520"/>
      <c r="C46" s="520"/>
      <c r="D46" s="520"/>
      <c r="E46" s="521">
        <f t="shared" si="6"/>
        <v>0</v>
      </c>
      <c r="F46" s="520"/>
      <c r="G46" s="520"/>
      <c r="H46" s="520"/>
      <c r="I46" s="521">
        <f t="shared" si="7"/>
        <v>0</v>
      </c>
    </row>
    <row r="47" spans="1:14" x14ac:dyDescent="0.25">
      <c r="A47" s="522">
        <f t="shared" si="5"/>
        <v>46174</v>
      </c>
      <c r="B47" s="520"/>
      <c r="C47" s="520"/>
      <c r="D47" s="520"/>
      <c r="E47" s="521">
        <f t="shared" si="6"/>
        <v>0</v>
      </c>
      <c r="F47" s="520"/>
      <c r="G47" s="520"/>
      <c r="H47" s="520"/>
      <c r="I47" s="521">
        <f t="shared" si="7"/>
        <v>0</v>
      </c>
    </row>
    <row r="48" spans="1:14" x14ac:dyDescent="0.25">
      <c r="A48" s="522">
        <f t="shared" si="5"/>
        <v>46204</v>
      </c>
      <c r="B48" s="521"/>
      <c r="C48" s="521"/>
      <c r="D48" s="521"/>
      <c r="E48" s="521">
        <f t="shared" si="6"/>
        <v>0</v>
      </c>
      <c r="F48" s="521"/>
      <c r="G48" s="521"/>
      <c r="H48" s="521"/>
      <c r="I48" s="521">
        <f t="shared" si="7"/>
        <v>0</v>
      </c>
    </row>
    <row r="49" spans="1:9" x14ac:dyDescent="0.25">
      <c r="A49" s="522">
        <f t="shared" si="5"/>
        <v>46235</v>
      </c>
      <c r="B49" s="521"/>
      <c r="C49" s="521"/>
      <c r="D49" s="521"/>
      <c r="E49" s="521">
        <f t="shared" si="6"/>
        <v>0</v>
      </c>
      <c r="F49" s="521"/>
      <c r="G49" s="521"/>
      <c r="H49" s="521"/>
      <c r="I49" s="521">
        <f t="shared" si="7"/>
        <v>0</v>
      </c>
    </row>
    <row r="50" spans="1:9" x14ac:dyDescent="0.25">
      <c r="A50" s="522">
        <f t="shared" si="5"/>
        <v>46266</v>
      </c>
      <c r="B50" s="521"/>
      <c r="C50" s="521"/>
      <c r="D50" s="521"/>
      <c r="E50" s="521">
        <f t="shared" si="6"/>
        <v>0</v>
      </c>
      <c r="F50" s="521"/>
      <c r="G50" s="521"/>
      <c r="H50" s="521"/>
      <c r="I50" s="521">
        <f t="shared" si="7"/>
        <v>0</v>
      </c>
    </row>
    <row r="51" spans="1:9" x14ac:dyDescent="0.25">
      <c r="A51" s="522">
        <f t="shared" si="5"/>
        <v>46296</v>
      </c>
      <c r="B51" s="521"/>
      <c r="C51" s="521"/>
      <c r="D51" s="521"/>
      <c r="E51" s="521">
        <f t="shared" si="6"/>
        <v>0</v>
      </c>
      <c r="F51" s="521"/>
      <c r="G51" s="521"/>
      <c r="H51" s="521"/>
      <c r="I51" s="521">
        <f t="shared" si="7"/>
        <v>0</v>
      </c>
    </row>
    <row r="52" spans="1:9" x14ac:dyDescent="0.25">
      <c r="A52" s="522">
        <f t="shared" si="5"/>
        <v>46327</v>
      </c>
      <c r="B52" s="521"/>
      <c r="C52" s="521"/>
      <c r="D52" s="521"/>
      <c r="E52" s="521">
        <f t="shared" si="6"/>
        <v>0</v>
      </c>
      <c r="F52" s="521"/>
      <c r="G52" s="521"/>
      <c r="H52" s="521"/>
      <c r="I52" s="521">
        <f t="shared" si="7"/>
        <v>0</v>
      </c>
    </row>
    <row r="53" spans="1:9" ht="15.75" thickBot="1" x14ac:dyDescent="0.3">
      <c r="A53" s="522">
        <f t="shared" si="5"/>
        <v>46357</v>
      </c>
      <c r="B53" s="521"/>
      <c r="C53" s="521"/>
      <c r="D53" s="521"/>
      <c r="E53" s="521">
        <f t="shared" si="6"/>
        <v>0</v>
      </c>
      <c r="F53" s="521"/>
      <c r="G53" s="521"/>
      <c r="H53" s="521"/>
      <c r="I53" s="521">
        <f t="shared" si="7"/>
        <v>0</v>
      </c>
    </row>
    <row r="54" spans="1:9" ht="15.75" thickBot="1" x14ac:dyDescent="0.3">
      <c r="A54" s="359" t="s">
        <v>4</v>
      </c>
      <c r="B54" s="423">
        <f>SUM(B42:B53)</f>
        <v>155686</v>
      </c>
      <c r="C54" s="423">
        <f t="shared" ref="C54:E54" si="8">SUM(C42:C53)</f>
        <v>3312</v>
      </c>
      <c r="D54" s="423">
        <f t="shared" si="8"/>
        <v>4510</v>
      </c>
      <c r="E54" s="423">
        <f t="shared" si="8"/>
        <v>163508</v>
      </c>
      <c r="F54" s="423">
        <f>SUM(F42:F53)</f>
        <v>0</v>
      </c>
      <c r="G54" s="423">
        <f t="shared" ref="G54:I54" si="9">SUM(G42:G53)</f>
        <v>0</v>
      </c>
      <c r="H54" s="423">
        <f t="shared" si="9"/>
        <v>0</v>
      </c>
      <c r="I54" s="423">
        <f t="shared" si="9"/>
        <v>0</v>
      </c>
    </row>
    <row r="55" spans="1:9" ht="30.75" thickBot="1" x14ac:dyDescent="0.3">
      <c r="A55" s="434" t="s">
        <v>143</v>
      </c>
      <c r="B55" s="446">
        <f>B54</f>
        <v>155686</v>
      </c>
      <c r="C55" s="447">
        <f t="shared" ref="C55:E55" si="10">C54</f>
        <v>3312</v>
      </c>
      <c r="D55" s="447">
        <f t="shared" si="10"/>
        <v>4510</v>
      </c>
      <c r="E55" s="448">
        <f t="shared" si="10"/>
        <v>163508</v>
      </c>
      <c r="F55" s="446">
        <f>F54</f>
        <v>0</v>
      </c>
      <c r="G55" s="447">
        <f t="shared" ref="G55:I55" si="11">G54</f>
        <v>0</v>
      </c>
      <c r="H55" s="447">
        <f t="shared" si="11"/>
        <v>0</v>
      </c>
      <c r="I55" s="448">
        <f t="shared" si="11"/>
        <v>0</v>
      </c>
    </row>
  </sheetData>
  <mergeCells count="14">
    <mergeCell ref="M21:N21"/>
    <mergeCell ref="F3:I3"/>
    <mergeCell ref="M3:P3"/>
    <mergeCell ref="A2:I2"/>
    <mergeCell ref="F21:I21"/>
    <mergeCell ref="A21:A22"/>
    <mergeCell ref="B21:E21"/>
    <mergeCell ref="A3:E3"/>
    <mergeCell ref="A40:A41"/>
    <mergeCell ref="B40:E40"/>
    <mergeCell ref="F40:I40"/>
    <mergeCell ref="J21:J22"/>
    <mergeCell ref="A20:L20"/>
    <mergeCell ref="K21:L2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W83"/>
  <sheetViews>
    <sheetView zoomScaleNormal="100" workbookViewId="0">
      <selection activeCell="L11" sqref="L11"/>
    </sheetView>
  </sheetViews>
  <sheetFormatPr defaultRowHeight="15" x14ac:dyDescent="0.25"/>
  <cols>
    <col min="1" max="1" width="13.85546875" customWidth="1"/>
    <col min="2" max="2" width="21.28515625" customWidth="1"/>
    <col min="4" max="4" width="14.7109375" customWidth="1"/>
    <col min="9" max="9" width="14.85546875" customWidth="1"/>
    <col min="10" max="10" width="17.5703125" bestFit="1" customWidth="1"/>
    <col min="12" max="12" width="9.85546875" bestFit="1" customWidth="1"/>
    <col min="13" max="13" width="10.140625" bestFit="1" customWidth="1"/>
  </cols>
  <sheetData>
    <row r="1" spans="1:23" x14ac:dyDescent="0.25">
      <c r="A1" s="898" t="s">
        <v>433</v>
      </c>
      <c r="B1" s="898"/>
      <c r="C1" s="898"/>
      <c r="D1" s="898"/>
      <c r="E1" s="898"/>
      <c r="F1" s="898"/>
      <c r="G1" s="898"/>
      <c r="H1" s="898"/>
      <c r="I1" s="898" t="s">
        <v>434</v>
      </c>
      <c r="J1" s="898"/>
      <c r="K1" s="898"/>
      <c r="L1" s="898"/>
      <c r="M1" s="898"/>
      <c r="N1" s="898"/>
      <c r="O1" s="898"/>
      <c r="P1" s="898"/>
      <c r="Q1" s="898"/>
    </row>
    <row r="2" spans="1:23" ht="15.75" thickBot="1" x14ac:dyDescent="0.3"/>
    <row r="3" spans="1:23" ht="15.75" thickBot="1" x14ac:dyDescent="0.3">
      <c r="A3" s="959" t="s">
        <v>309</v>
      </c>
      <c r="B3" s="960"/>
      <c r="C3" s="961"/>
      <c r="D3" s="24"/>
      <c r="E3" s="24"/>
      <c r="F3" s="24"/>
      <c r="G3" s="24"/>
      <c r="H3" s="24"/>
      <c r="I3" s="959" t="s">
        <v>286</v>
      </c>
      <c r="J3" s="960"/>
      <c r="K3" s="961"/>
      <c r="L3" s="24"/>
      <c r="M3" s="24"/>
      <c r="N3" s="24"/>
      <c r="O3" s="24"/>
      <c r="P3" s="24"/>
      <c r="Q3" s="24"/>
    </row>
    <row r="4" spans="1:23" x14ac:dyDescent="0.25">
      <c r="A4" s="47" t="s">
        <v>54</v>
      </c>
      <c r="B4" s="65" t="s">
        <v>55</v>
      </c>
      <c r="C4" s="104"/>
      <c r="D4" s="24"/>
      <c r="E4" s="24"/>
      <c r="F4" s="24"/>
      <c r="G4" s="24"/>
      <c r="H4" s="24"/>
      <c r="I4" s="107" t="s">
        <v>54</v>
      </c>
      <c r="J4" s="105" t="s">
        <v>81</v>
      </c>
      <c r="K4" s="102"/>
    </row>
    <row r="5" spans="1:23" x14ac:dyDescent="0.25">
      <c r="A5" s="107" t="s">
        <v>56</v>
      </c>
      <c r="B5" s="489" t="s">
        <v>327</v>
      </c>
      <c r="C5" s="102"/>
      <c r="D5" s="24"/>
      <c r="E5" s="24"/>
      <c r="F5" s="24"/>
      <c r="G5" s="24"/>
      <c r="H5" s="24"/>
      <c r="I5" s="107" t="s">
        <v>56</v>
      </c>
      <c r="J5" s="105" t="s">
        <v>82</v>
      </c>
      <c r="K5" s="102"/>
      <c r="L5" s="24"/>
      <c r="M5" s="24"/>
      <c r="N5" s="24"/>
      <c r="O5" s="24"/>
      <c r="P5" s="24"/>
      <c r="Q5" s="24"/>
    </row>
    <row r="6" spans="1:23" x14ac:dyDescent="0.25">
      <c r="A6" s="107" t="s">
        <v>57</v>
      </c>
      <c r="B6" s="1" t="s">
        <v>272</v>
      </c>
      <c r="C6" s="102"/>
      <c r="D6" s="24"/>
      <c r="E6" s="24"/>
      <c r="F6" s="24"/>
      <c r="G6" s="24"/>
      <c r="H6" s="24"/>
      <c r="I6" s="107" t="s">
        <v>57</v>
      </c>
      <c r="J6" s="105" t="s">
        <v>148</v>
      </c>
      <c r="K6" s="102"/>
      <c r="L6" s="24"/>
      <c r="M6" s="24"/>
      <c r="N6" s="24"/>
      <c r="O6" s="24"/>
      <c r="P6" s="24"/>
      <c r="Q6" s="24"/>
    </row>
    <row r="7" spans="1:23" x14ac:dyDescent="0.25">
      <c r="A7" s="107" t="s">
        <v>59</v>
      </c>
      <c r="B7" s="105" t="s">
        <v>60</v>
      </c>
      <c r="C7" s="102"/>
      <c r="D7" s="24"/>
      <c r="E7" s="24"/>
      <c r="F7" s="24"/>
      <c r="G7" s="24"/>
      <c r="H7" s="24"/>
      <c r="I7" s="107" t="s">
        <v>59</v>
      </c>
      <c r="J7" s="105" t="s">
        <v>149</v>
      </c>
      <c r="K7" s="102"/>
      <c r="L7" s="24"/>
      <c r="M7" s="24"/>
      <c r="N7" s="24"/>
      <c r="O7" s="24"/>
      <c r="P7" s="24"/>
      <c r="Q7" s="24"/>
    </row>
    <row r="8" spans="1:23" x14ac:dyDescent="0.25">
      <c r="A8" s="107" t="s">
        <v>61</v>
      </c>
      <c r="B8" s="105" t="s">
        <v>62</v>
      </c>
      <c r="C8" s="102"/>
      <c r="D8" s="24"/>
      <c r="E8" s="24"/>
      <c r="F8" s="24"/>
      <c r="G8" s="24"/>
      <c r="H8" s="24"/>
      <c r="I8" s="107" t="s">
        <v>61</v>
      </c>
      <c r="J8" s="105" t="s">
        <v>84</v>
      </c>
      <c r="K8" s="102"/>
      <c r="L8" s="24"/>
      <c r="M8" s="24"/>
      <c r="N8" s="24"/>
      <c r="O8" s="24"/>
      <c r="P8" s="24"/>
      <c r="Q8" s="24"/>
    </row>
    <row r="9" spans="1:23" ht="15.75" thickBot="1" x14ac:dyDescent="0.3">
      <c r="A9" s="108" t="s">
        <v>147</v>
      </c>
      <c r="B9" s="106" t="s">
        <v>64</v>
      </c>
      <c r="C9" s="103"/>
      <c r="D9" s="24"/>
      <c r="E9" s="24"/>
      <c r="F9" s="24"/>
      <c r="G9" s="24"/>
      <c r="H9" s="24"/>
      <c r="I9" s="108" t="s">
        <v>147</v>
      </c>
      <c r="J9" s="106" t="s">
        <v>150</v>
      </c>
      <c r="K9" s="103"/>
      <c r="L9" s="24"/>
      <c r="M9" s="24"/>
      <c r="N9" s="24"/>
      <c r="O9" s="24"/>
      <c r="P9" s="24"/>
      <c r="Q9" s="24"/>
    </row>
    <row r="10" spans="1:23" ht="15.75" thickBot="1" x14ac:dyDescent="0.3">
      <c r="A10" s="16" t="s">
        <v>328</v>
      </c>
      <c r="B10" s="12" t="s">
        <v>361</v>
      </c>
      <c r="C10" s="12" t="s">
        <v>338</v>
      </c>
      <c r="D10" s="13"/>
      <c r="E10" s="1"/>
      <c r="F10" s="1"/>
      <c r="G10" s="1"/>
      <c r="I10" s="16" t="s">
        <v>328</v>
      </c>
      <c r="J10" s="512" t="s">
        <v>337</v>
      </c>
      <c r="K10" s="513" t="s">
        <v>338</v>
      </c>
      <c r="M10" s="24"/>
      <c r="N10" s="24"/>
      <c r="O10" s="24"/>
      <c r="P10" s="24"/>
      <c r="Q10" s="24"/>
    </row>
    <row r="11" spans="1:23" ht="15.75" thickBot="1" x14ac:dyDescent="0.3">
      <c r="L11" s="24"/>
      <c r="M11" s="24"/>
      <c r="N11" s="24"/>
      <c r="O11" s="24"/>
      <c r="P11" s="24"/>
      <c r="Q11" s="24"/>
    </row>
    <row r="12" spans="1:23" ht="15.75" thickBot="1" x14ac:dyDescent="0.3">
      <c r="A12" s="109" t="s">
        <v>65</v>
      </c>
      <c r="B12" s="110">
        <f>SUM('Palo Seco'!B6:E6)</f>
        <v>4217354</v>
      </c>
      <c r="C12" s="111" t="s">
        <v>268</v>
      </c>
      <c r="D12" s="24"/>
      <c r="E12" s="24"/>
      <c r="F12" s="24"/>
      <c r="G12" s="24"/>
      <c r="H12" s="24"/>
      <c r="I12" s="109" t="s">
        <v>85</v>
      </c>
      <c r="J12" s="110">
        <f>SUM('Palo Seco'!B24:E24)</f>
        <v>80964</v>
      </c>
      <c r="K12" s="111" t="s">
        <v>268</v>
      </c>
      <c r="L12" s="24"/>
      <c r="M12" s="24"/>
      <c r="N12" s="24"/>
      <c r="O12" s="24"/>
      <c r="P12" s="24"/>
      <c r="Q12" s="24"/>
    </row>
    <row r="13" spans="1:23" ht="15.75" thickBot="1" x14ac:dyDescent="0.3">
      <c r="A13" s="109" t="s">
        <v>67</v>
      </c>
      <c r="B13" s="110">
        <f>AVERAGE('Palo Seco'!F6:I6)</f>
        <v>0.46</v>
      </c>
      <c r="C13" s="111"/>
      <c r="D13" s="321"/>
      <c r="E13" s="24"/>
      <c r="F13" s="24"/>
      <c r="G13" s="24"/>
      <c r="H13" s="24"/>
      <c r="I13" s="109" t="s">
        <v>67</v>
      </c>
      <c r="J13" s="117">
        <f>AVERAGE('Palo Seco'!F24:I24)</f>
        <v>0.01</v>
      </c>
      <c r="K13" s="111"/>
      <c r="L13" s="24"/>
      <c r="M13" s="24"/>
      <c r="N13" s="24"/>
      <c r="O13" s="24"/>
      <c r="P13" s="24"/>
      <c r="Q13" s="24"/>
      <c r="V13">
        <f>(867406.4)*2204.6/77635189</f>
        <v>24.631667341468056</v>
      </c>
      <c r="W13" t="s">
        <v>329</v>
      </c>
    </row>
    <row r="14" spans="1:23" x14ac:dyDescent="0.25">
      <c r="V14">
        <f>(73.96+0.003*25+0.0006*298)*2.2046*0.138</f>
        <v>22.578420600240001</v>
      </c>
      <c r="W14" t="s">
        <v>329</v>
      </c>
    </row>
    <row r="16" spans="1:23" x14ac:dyDescent="0.25">
      <c r="A16" s="24" t="s">
        <v>68</v>
      </c>
      <c r="B16" s="24"/>
      <c r="C16" s="24"/>
      <c r="D16" s="24"/>
      <c r="E16" s="24"/>
      <c r="F16" s="24"/>
      <c r="G16" s="24"/>
      <c r="H16" s="24"/>
      <c r="I16" s="24" t="s">
        <v>68</v>
      </c>
      <c r="J16" s="24"/>
      <c r="K16" s="24"/>
      <c r="L16" s="24"/>
      <c r="M16" s="24"/>
      <c r="N16" s="24"/>
      <c r="O16" s="24"/>
      <c r="P16" s="24"/>
      <c r="Q16" s="24"/>
    </row>
    <row r="18" spans="1:17" x14ac:dyDescent="0.25">
      <c r="A18" s="28" t="s">
        <v>69</v>
      </c>
      <c r="B18" s="114">
        <f>(9.19*B13)+3.22</f>
        <v>7.4474</v>
      </c>
      <c r="C18" s="65" t="s">
        <v>70</v>
      </c>
      <c r="D18" s="112">
        <f>B12</f>
        <v>4217354</v>
      </c>
      <c r="E18" s="65" t="s">
        <v>71</v>
      </c>
      <c r="F18" s="962" t="s">
        <v>72</v>
      </c>
      <c r="G18" s="963"/>
      <c r="H18" s="56"/>
      <c r="I18" s="28" t="s">
        <v>69</v>
      </c>
      <c r="J18" s="66">
        <v>1.2E-2</v>
      </c>
      <c r="K18" s="65" t="s">
        <v>70</v>
      </c>
      <c r="L18" s="95">
        <f>J12</f>
        <v>80964</v>
      </c>
      <c r="M18" s="65" t="s">
        <v>71</v>
      </c>
      <c r="N18" s="66">
        <v>0.13800000000000001</v>
      </c>
      <c r="O18" s="65" t="s">
        <v>86</v>
      </c>
      <c r="P18" s="97"/>
      <c r="Q18" s="121" t="s">
        <v>72</v>
      </c>
    </row>
    <row r="19" spans="1:17" x14ac:dyDescent="0.25">
      <c r="A19" s="24"/>
      <c r="B19" s="96">
        <v>1000</v>
      </c>
      <c r="C19" s="57" t="s">
        <v>71</v>
      </c>
      <c r="D19" s="964" t="s">
        <v>279</v>
      </c>
      <c r="E19" s="899"/>
      <c r="F19" s="56">
        <v>2000</v>
      </c>
      <c r="G19" s="24" t="s">
        <v>70</v>
      </c>
      <c r="H19" s="56"/>
      <c r="I19" s="24"/>
      <c r="J19" s="120"/>
      <c r="K19" s="119" t="s">
        <v>86</v>
      </c>
      <c r="L19" s="96"/>
      <c r="M19" s="57" t="s">
        <v>279</v>
      </c>
      <c r="N19" s="96"/>
      <c r="O19" s="57" t="s">
        <v>71</v>
      </c>
      <c r="P19" s="56">
        <v>2000</v>
      </c>
      <c r="Q19" s="115" t="s">
        <v>70</v>
      </c>
    </row>
    <row r="22" spans="1:17" x14ac:dyDescent="0.25">
      <c r="A22" s="28" t="s">
        <v>69</v>
      </c>
      <c r="B22" s="27">
        <f>((B18/B19)*D18)/F19</f>
        <v>15.704161089799999</v>
      </c>
      <c r="C22" s="29" t="s">
        <v>72</v>
      </c>
      <c r="D22" s="28" t="s">
        <v>69</v>
      </c>
      <c r="E22" s="27">
        <f>B22*2000/8760</f>
        <v>3.5854249063470318</v>
      </c>
      <c r="F22" s="29" t="s">
        <v>70</v>
      </c>
      <c r="G22" s="24"/>
      <c r="H22" s="24"/>
      <c r="I22" s="28" t="s">
        <v>69</v>
      </c>
      <c r="J22" s="94">
        <f>(J18*L18*N18)/P19</f>
        <v>6.703819200000001E-2</v>
      </c>
      <c r="K22" s="29" t="s">
        <v>72</v>
      </c>
      <c r="L22" s="28" t="s">
        <v>69</v>
      </c>
      <c r="M22" s="94">
        <f>J22*(2000/8760)</f>
        <v>1.5305523287671234E-2</v>
      </c>
      <c r="N22" s="29" t="s">
        <v>70</v>
      </c>
      <c r="O22" s="24"/>
      <c r="P22" s="24"/>
      <c r="Q22" s="24"/>
    </row>
    <row r="23" spans="1:17" x14ac:dyDescent="0.25">
      <c r="A23" s="24"/>
      <c r="B23" s="24"/>
      <c r="C23" s="26" t="s">
        <v>279</v>
      </c>
      <c r="D23" s="24"/>
      <c r="E23" s="24"/>
      <c r="F23" s="26" t="s">
        <v>128</v>
      </c>
      <c r="G23" s="24"/>
      <c r="H23" s="24"/>
      <c r="I23" s="24"/>
      <c r="J23" s="24"/>
      <c r="K23" s="26" t="s">
        <v>279</v>
      </c>
      <c r="L23" s="24"/>
      <c r="M23" s="24"/>
      <c r="N23" s="26" t="s">
        <v>128</v>
      </c>
      <c r="O23" s="24"/>
      <c r="P23" s="24"/>
      <c r="Q23" s="24"/>
    </row>
    <row r="26" spans="1:17" x14ac:dyDescent="0.25">
      <c r="A26" s="24" t="s">
        <v>74</v>
      </c>
      <c r="B26" s="24"/>
      <c r="C26" s="24"/>
      <c r="D26" s="24"/>
      <c r="E26" s="24"/>
      <c r="F26" s="24"/>
      <c r="G26" s="24"/>
      <c r="H26" s="24"/>
      <c r="I26" s="24" t="s">
        <v>74</v>
      </c>
      <c r="J26" s="24"/>
      <c r="K26" s="24"/>
      <c r="L26" s="24"/>
      <c r="M26" s="24"/>
      <c r="N26" s="24"/>
      <c r="O26" s="24"/>
      <c r="P26" s="24"/>
      <c r="Q26" s="24"/>
    </row>
    <row r="27" spans="1:17" x14ac:dyDescent="0.25">
      <c r="B27" s="315"/>
    </row>
    <row r="28" spans="1:17" x14ac:dyDescent="0.25">
      <c r="A28" s="28" t="s">
        <v>69</v>
      </c>
      <c r="B28" s="113">
        <f>157*B13</f>
        <v>72.22</v>
      </c>
      <c r="C28" s="65" t="s">
        <v>70</v>
      </c>
      <c r="D28" s="112">
        <f>B12</f>
        <v>4217354</v>
      </c>
      <c r="E28" s="65" t="s">
        <v>71</v>
      </c>
      <c r="F28" s="962" t="s">
        <v>72</v>
      </c>
      <c r="G28" s="963"/>
      <c r="H28" s="56"/>
      <c r="I28" s="28" t="s">
        <v>69</v>
      </c>
      <c r="J28" s="116">
        <f>1.01*J13</f>
        <v>1.01E-2</v>
      </c>
      <c r="K28" s="65" t="s">
        <v>70</v>
      </c>
      <c r="L28" s="95">
        <f>J12</f>
        <v>80964</v>
      </c>
      <c r="M28" s="65" t="s">
        <v>71</v>
      </c>
      <c r="N28" s="66">
        <v>0.13800000000000001</v>
      </c>
      <c r="O28" s="65" t="s">
        <v>86</v>
      </c>
      <c r="P28" s="97"/>
      <c r="Q28" s="121" t="s">
        <v>72</v>
      </c>
    </row>
    <row r="29" spans="1:17" x14ac:dyDescent="0.25">
      <c r="A29" s="24"/>
      <c r="B29" s="96">
        <v>1000</v>
      </c>
      <c r="C29" s="57" t="s">
        <v>71</v>
      </c>
      <c r="D29" s="964" t="s">
        <v>279</v>
      </c>
      <c r="E29" s="899"/>
      <c r="F29" s="56">
        <v>2000</v>
      </c>
      <c r="G29" s="24" t="s">
        <v>70</v>
      </c>
      <c r="H29" s="56"/>
      <c r="I29" s="24"/>
      <c r="J29" s="120"/>
      <c r="K29" s="119" t="s">
        <v>86</v>
      </c>
      <c r="L29" s="96"/>
      <c r="M29" s="57" t="s">
        <v>279</v>
      </c>
      <c r="N29" s="96"/>
      <c r="O29" s="57" t="s">
        <v>71</v>
      </c>
      <c r="P29" s="56">
        <v>2000</v>
      </c>
      <c r="Q29" s="115" t="s">
        <v>70</v>
      </c>
    </row>
    <row r="32" spans="1:17" x14ac:dyDescent="0.25">
      <c r="A32" s="28" t="s">
        <v>69</v>
      </c>
      <c r="B32" s="27">
        <f>((B28/B29)*D28)/F29</f>
        <v>152.28865293999996</v>
      </c>
      <c r="C32" s="29" t="s">
        <v>72</v>
      </c>
      <c r="D32" s="28" t="s">
        <v>69</v>
      </c>
      <c r="E32" s="27">
        <f>B32*(2000/8760)</f>
        <v>34.769098844748846</v>
      </c>
      <c r="F32" s="29" t="s">
        <v>70</v>
      </c>
      <c r="G32" s="24"/>
      <c r="H32" s="24"/>
      <c r="I32" s="28" t="s">
        <v>69</v>
      </c>
      <c r="J32" s="27">
        <f>(J28*L28*N28)/P29</f>
        <v>5.6423811600000005E-2</v>
      </c>
      <c r="K32" s="29" t="s">
        <v>72</v>
      </c>
      <c r="L32" s="28" t="s">
        <v>69</v>
      </c>
      <c r="M32" s="27">
        <f>J32*(2000/8760)</f>
        <v>1.2882148767123288E-2</v>
      </c>
      <c r="N32" s="29" t="s">
        <v>70</v>
      </c>
      <c r="O32" s="24"/>
      <c r="P32" s="24"/>
      <c r="Q32" s="24"/>
    </row>
    <row r="33" spans="1:17" x14ac:dyDescent="0.25">
      <c r="A33" s="24"/>
      <c r="B33" s="24"/>
      <c r="C33" s="26" t="s">
        <v>279</v>
      </c>
      <c r="D33" s="24"/>
      <c r="E33" s="24"/>
      <c r="F33" s="26" t="s">
        <v>128</v>
      </c>
      <c r="G33" s="24"/>
      <c r="H33" s="24"/>
      <c r="I33" s="24"/>
      <c r="J33" s="24"/>
      <c r="K33" s="26" t="s">
        <v>279</v>
      </c>
      <c r="L33" s="24"/>
      <c r="M33" s="24"/>
      <c r="N33" s="26" t="s">
        <v>128</v>
      </c>
      <c r="O33" s="24"/>
      <c r="P33" s="24"/>
      <c r="Q33" s="24"/>
    </row>
    <row r="36" spans="1:17" x14ac:dyDescent="0.25">
      <c r="A36" s="24" t="s">
        <v>75</v>
      </c>
      <c r="B36" s="24"/>
      <c r="C36" s="24"/>
      <c r="D36" s="24"/>
      <c r="E36" s="24"/>
      <c r="F36" s="24"/>
      <c r="G36" s="24"/>
      <c r="H36" s="24"/>
      <c r="I36" s="24" t="s">
        <v>75</v>
      </c>
      <c r="J36" s="24"/>
      <c r="K36" s="24"/>
      <c r="L36" s="24"/>
      <c r="M36" s="24"/>
      <c r="N36" s="24"/>
      <c r="O36" s="24"/>
      <c r="P36" s="24"/>
      <c r="Q36" s="24"/>
    </row>
    <row r="38" spans="1:17" x14ac:dyDescent="0.25">
      <c r="A38" s="28" t="s">
        <v>69</v>
      </c>
      <c r="B38" s="488">
        <v>0.36</v>
      </c>
      <c r="C38" s="8" t="s">
        <v>70</v>
      </c>
      <c r="D38" s="9">
        <f>B12</f>
        <v>4217354</v>
      </c>
      <c r="E38" s="8" t="s">
        <v>71</v>
      </c>
      <c r="F38" s="938" t="s">
        <v>310</v>
      </c>
      <c r="G38" s="939"/>
      <c r="H38" s="938" t="s">
        <v>72</v>
      </c>
      <c r="I38" s="939"/>
      <c r="J38" s="66">
        <v>0.88</v>
      </c>
      <c r="K38" s="65" t="s">
        <v>70</v>
      </c>
      <c r="L38" s="95">
        <f>J12</f>
        <v>80964</v>
      </c>
      <c r="M38" s="65" t="s">
        <v>71</v>
      </c>
      <c r="N38" s="66">
        <v>0.13800000000000001</v>
      </c>
      <c r="O38" s="65" t="s">
        <v>86</v>
      </c>
      <c r="P38" s="97"/>
      <c r="Q38" s="121" t="s">
        <v>72</v>
      </c>
    </row>
    <row r="39" spans="1:17" x14ac:dyDescent="0.25">
      <c r="A39" s="24"/>
      <c r="B39" s="6"/>
      <c r="C39" s="7" t="s">
        <v>119</v>
      </c>
      <c r="D39" s="940" t="s">
        <v>279</v>
      </c>
      <c r="E39" s="941"/>
      <c r="F39" s="6" t="s">
        <v>71</v>
      </c>
      <c r="G39" s="7"/>
      <c r="H39" s="6">
        <v>2000</v>
      </c>
      <c r="I39" s="7" t="s">
        <v>70</v>
      </c>
      <c r="J39" s="120"/>
      <c r="K39" s="119" t="s">
        <v>86</v>
      </c>
      <c r="L39" s="96"/>
      <c r="M39" s="57" t="s">
        <v>279</v>
      </c>
      <c r="N39" s="96"/>
      <c r="O39" s="57" t="s">
        <v>71</v>
      </c>
      <c r="P39" s="56">
        <v>2000</v>
      </c>
      <c r="Q39" s="115" t="s">
        <v>70</v>
      </c>
    </row>
    <row r="42" spans="1:17" x14ac:dyDescent="0.25">
      <c r="A42" s="28" t="s">
        <v>69</v>
      </c>
      <c r="B42" s="3">
        <f>B38*D38*0.15/2000</f>
        <v>113.86855799999999</v>
      </c>
      <c r="C42" s="5" t="s">
        <v>72</v>
      </c>
      <c r="D42" s="1"/>
      <c r="E42" s="1"/>
      <c r="F42" s="1"/>
      <c r="G42" s="1"/>
      <c r="J42" s="27">
        <f>(J38*L38*N38)/P39</f>
        <v>4.9161340800000008</v>
      </c>
      <c r="K42" s="29" t="s">
        <v>72</v>
      </c>
      <c r="L42" s="28" t="s">
        <v>69</v>
      </c>
      <c r="M42" s="27">
        <f>J42*(2000/8760)</f>
        <v>1.1224050410958906</v>
      </c>
      <c r="N42" s="29" t="s">
        <v>70</v>
      </c>
      <c r="O42" s="24"/>
      <c r="P42" s="24"/>
      <c r="Q42" s="24"/>
    </row>
    <row r="43" spans="1:17" x14ac:dyDescent="0.25">
      <c r="A43" s="24"/>
      <c r="B43" s="1"/>
      <c r="C43" s="2" t="s">
        <v>279</v>
      </c>
      <c r="D43" s="1"/>
      <c r="E43" s="1"/>
      <c r="F43" s="1"/>
      <c r="G43" s="1"/>
      <c r="J43" s="24"/>
      <c r="K43" s="26" t="s">
        <v>279</v>
      </c>
      <c r="L43" s="24"/>
      <c r="M43" s="24"/>
      <c r="N43" s="26" t="s">
        <v>128</v>
      </c>
      <c r="O43" s="24"/>
      <c r="P43" s="24"/>
      <c r="Q43" s="24"/>
    </row>
    <row r="46" spans="1:17" x14ac:dyDescent="0.25">
      <c r="A46" s="24" t="s">
        <v>76</v>
      </c>
      <c r="B46" s="24"/>
      <c r="C46" s="24"/>
      <c r="D46" s="24"/>
      <c r="E46" s="24"/>
      <c r="F46" s="24"/>
      <c r="G46" s="24"/>
      <c r="H46" s="24"/>
      <c r="I46" s="24" t="s">
        <v>76</v>
      </c>
      <c r="J46" s="24"/>
      <c r="K46" s="24"/>
      <c r="L46" s="24"/>
      <c r="M46" s="24"/>
      <c r="N46" s="24"/>
      <c r="O46" s="24"/>
      <c r="P46" s="24"/>
      <c r="Q46" s="24"/>
    </row>
    <row r="48" spans="1:17" x14ac:dyDescent="0.25">
      <c r="A48" s="28" t="s">
        <v>69</v>
      </c>
      <c r="B48" s="97">
        <v>0.76</v>
      </c>
      <c r="C48" s="65" t="s">
        <v>70</v>
      </c>
      <c r="D48" s="95">
        <f>B12</f>
        <v>4217354</v>
      </c>
      <c r="E48" s="65" t="s">
        <v>71</v>
      </c>
      <c r="F48" s="962" t="s">
        <v>72</v>
      </c>
      <c r="G48" s="963"/>
      <c r="H48" s="56"/>
      <c r="I48" s="28" t="s">
        <v>69</v>
      </c>
      <c r="J48" s="66">
        <v>4.0999999999999999E-4</v>
      </c>
      <c r="K48" s="65" t="s">
        <v>70</v>
      </c>
      <c r="L48" s="95">
        <f>J12</f>
        <v>80964</v>
      </c>
      <c r="M48" s="65" t="s">
        <v>71</v>
      </c>
      <c r="N48" s="66">
        <v>0.13800000000000001</v>
      </c>
      <c r="O48" s="65" t="s">
        <v>86</v>
      </c>
      <c r="P48" s="97"/>
      <c r="Q48" s="121" t="s">
        <v>72</v>
      </c>
    </row>
    <row r="49" spans="1:17" x14ac:dyDescent="0.25">
      <c r="A49" s="24"/>
      <c r="B49" s="96">
        <v>1000</v>
      </c>
      <c r="C49" s="57" t="s">
        <v>71</v>
      </c>
      <c r="D49" s="964" t="s">
        <v>279</v>
      </c>
      <c r="E49" s="899"/>
      <c r="F49" s="56">
        <v>2000</v>
      </c>
      <c r="G49" s="24" t="s">
        <v>70</v>
      </c>
      <c r="H49" s="56"/>
      <c r="I49" s="24"/>
      <c r="J49" s="120"/>
      <c r="K49" s="119" t="s">
        <v>86</v>
      </c>
      <c r="L49" s="96"/>
      <c r="M49" s="57" t="s">
        <v>279</v>
      </c>
      <c r="N49" s="96"/>
      <c r="O49" s="57" t="s">
        <v>71</v>
      </c>
      <c r="P49" s="56">
        <v>2000</v>
      </c>
      <c r="Q49" s="115" t="s">
        <v>70</v>
      </c>
    </row>
    <row r="52" spans="1:17" x14ac:dyDescent="0.25">
      <c r="A52" s="28" t="s">
        <v>69</v>
      </c>
      <c r="B52" s="27">
        <f>((B48/B49)*D48)/F49</f>
        <v>1.60259452</v>
      </c>
      <c r="C52" s="29" t="s">
        <v>72</v>
      </c>
      <c r="D52" s="28" t="s">
        <v>69</v>
      </c>
      <c r="E52" s="27">
        <f>B52*(2000/8760)</f>
        <v>0.36588915981735159</v>
      </c>
      <c r="F52" s="29" t="s">
        <v>70</v>
      </c>
      <c r="G52" s="24"/>
      <c r="H52" s="24"/>
      <c r="I52" s="28" t="s">
        <v>69</v>
      </c>
      <c r="J52" s="94">
        <f>(J48*L48*N48)/P49</f>
        <v>2.2904715600000005E-3</v>
      </c>
      <c r="K52" s="29" t="s">
        <v>72</v>
      </c>
      <c r="L52" s="28" t="s">
        <v>69</v>
      </c>
      <c r="M52" s="94">
        <f>J52*(2000/8760)</f>
        <v>5.2293871232876718E-4</v>
      </c>
      <c r="N52" s="29" t="s">
        <v>70</v>
      </c>
      <c r="O52" s="24"/>
      <c r="P52" s="24"/>
      <c r="Q52" s="24"/>
    </row>
    <row r="53" spans="1:17" x14ac:dyDescent="0.25">
      <c r="A53" s="24"/>
      <c r="B53" s="24"/>
      <c r="C53" s="26" t="s">
        <v>279</v>
      </c>
      <c r="D53" s="24"/>
      <c r="E53" s="24"/>
      <c r="F53" s="26" t="s">
        <v>128</v>
      </c>
      <c r="G53" s="24"/>
      <c r="H53" s="24"/>
      <c r="I53" s="24"/>
      <c r="J53" s="24"/>
      <c r="K53" s="26" t="s">
        <v>279</v>
      </c>
      <c r="L53" s="24"/>
      <c r="M53" s="24"/>
      <c r="N53" s="26" t="s">
        <v>128</v>
      </c>
      <c r="O53" s="24"/>
      <c r="P53" s="24"/>
      <c r="Q53" s="24"/>
    </row>
    <row r="56" spans="1:17" x14ac:dyDescent="0.25">
      <c r="A56" s="24" t="s">
        <v>77</v>
      </c>
      <c r="B56" s="24"/>
      <c r="C56" s="24"/>
      <c r="D56" s="24"/>
      <c r="E56" s="24"/>
      <c r="F56" s="24"/>
      <c r="G56" s="24"/>
      <c r="H56" s="24"/>
      <c r="I56" s="24" t="s">
        <v>77</v>
      </c>
      <c r="J56" s="24"/>
      <c r="K56" s="24"/>
      <c r="L56" s="24"/>
      <c r="M56" s="24"/>
      <c r="N56" s="24"/>
      <c r="O56" s="24"/>
      <c r="P56" s="24"/>
      <c r="Q56" s="24"/>
    </row>
    <row r="58" spans="1:17" x14ac:dyDescent="0.25">
      <c r="A58" s="28" t="s">
        <v>69</v>
      </c>
      <c r="B58" s="97">
        <v>5</v>
      </c>
      <c r="C58" s="65" t="s">
        <v>70</v>
      </c>
      <c r="D58" s="95">
        <f>B12</f>
        <v>4217354</v>
      </c>
      <c r="E58" s="65" t="s">
        <v>71</v>
      </c>
      <c r="F58" s="962" t="s">
        <v>72</v>
      </c>
      <c r="G58" s="963"/>
      <c r="H58" s="56"/>
      <c r="I58" s="28" t="s">
        <v>69</v>
      </c>
      <c r="J58" s="66">
        <v>3.3E-3</v>
      </c>
      <c r="K58" s="65" t="s">
        <v>70</v>
      </c>
      <c r="L58" s="95">
        <f>J12</f>
        <v>80964</v>
      </c>
      <c r="M58" s="65" t="s">
        <v>71</v>
      </c>
      <c r="N58" s="66">
        <v>0.13800000000000001</v>
      </c>
      <c r="O58" s="65" t="s">
        <v>86</v>
      </c>
      <c r="P58" s="97"/>
      <c r="Q58" s="121" t="s">
        <v>72</v>
      </c>
    </row>
    <row r="59" spans="1:17" x14ac:dyDescent="0.25">
      <c r="A59" s="24"/>
      <c r="B59" s="96">
        <v>1000</v>
      </c>
      <c r="C59" s="57" t="s">
        <v>71</v>
      </c>
      <c r="D59" s="964" t="s">
        <v>279</v>
      </c>
      <c r="E59" s="899"/>
      <c r="F59" s="56">
        <v>2000</v>
      </c>
      <c r="G59" s="24" t="s">
        <v>70</v>
      </c>
      <c r="H59" s="56"/>
      <c r="I59" s="24"/>
      <c r="J59" s="120"/>
      <c r="K59" s="119" t="s">
        <v>86</v>
      </c>
      <c r="L59" s="96"/>
      <c r="M59" s="57" t="s">
        <v>279</v>
      </c>
      <c r="N59" s="96"/>
      <c r="O59" s="57" t="s">
        <v>71</v>
      </c>
      <c r="P59" s="56">
        <v>2000</v>
      </c>
      <c r="Q59" s="115" t="s">
        <v>70</v>
      </c>
    </row>
    <row r="62" spans="1:17" x14ac:dyDescent="0.25">
      <c r="A62" s="28" t="s">
        <v>69</v>
      </c>
      <c r="B62" s="94">
        <f>((B58/B59)*D58)/F59</f>
        <v>10.543385000000001</v>
      </c>
      <c r="C62" s="29" t="s">
        <v>72</v>
      </c>
      <c r="D62" s="28" t="s">
        <v>69</v>
      </c>
      <c r="E62" s="94">
        <f>B62*(2000/8760)</f>
        <v>2.4071655251141553</v>
      </c>
      <c r="F62" s="29" t="s">
        <v>70</v>
      </c>
      <c r="G62" s="24"/>
      <c r="H62" s="24"/>
      <c r="I62" s="28" t="s">
        <v>69</v>
      </c>
      <c r="J62" s="94">
        <f>(J58*L58*N58)/P59</f>
        <v>1.8435502800000003E-2</v>
      </c>
      <c r="K62" s="29" t="s">
        <v>72</v>
      </c>
      <c r="L62" s="28" t="s">
        <v>69</v>
      </c>
      <c r="M62" s="94">
        <f>J62*(2000/8760)</f>
        <v>4.2090189041095894E-3</v>
      </c>
      <c r="N62" s="29" t="s">
        <v>70</v>
      </c>
      <c r="O62" s="24"/>
      <c r="P62" s="24"/>
      <c r="Q62" s="24"/>
    </row>
    <row r="63" spans="1:17" x14ac:dyDescent="0.25">
      <c r="A63" s="24"/>
      <c r="B63" s="24"/>
      <c r="C63" s="26" t="s">
        <v>279</v>
      </c>
      <c r="D63" s="24"/>
      <c r="E63" s="24"/>
      <c r="F63" s="26" t="s">
        <v>128</v>
      </c>
      <c r="G63" s="24"/>
      <c r="H63" s="24"/>
      <c r="I63" s="24"/>
      <c r="J63" s="24"/>
      <c r="K63" s="26" t="s">
        <v>279</v>
      </c>
      <c r="L63" s="24"/>
      <c r="M63" s="24"/>
      <c r="N63" s="26" t="s">
        <v>128</v>
      </c>
      <c r="O63" s="24"/>
      <c r="P63" s="24"/>
      <c r="Q63" s="24"/>
    </row>
    <row r="66" spans="1:18" x14ac:dyDescent="0.25">
      <c r="A66" s="24" t="s">
        <v>78</v>
      </c>
      <c r="B66" s="24"/>
      <c r="C66" s="24"/>
      <c r="D66" s="24"/>
      <c r="E66" s="24"/>
      <c r="F66" s="24"/>
      <c r="G66" s="24"/>
      <c r="H66" s="24"/>
      <c r="I66" s="24" t="s">
        <v>78</v>
      </c>
      <c r="J66" s="24"/>
      <c r="K66" s="24"/>
      <c r="L66" s="24"/>
      <c r="M66" s="24"/>
      <c r="N66" s="24"/>
      <c r="O66" s="24"/>
      <c r="P66" s="24"/>
      <c r="Q66" s="24"/>
    </row>
    <row r="68" spans="1:18" x14ac:dyDescent="0.25">
      <c r="A68" s="28" t="s">
        <v>69</v>
      </c>
      <c r="B68" s="97">
        <v>1.5100000000000001E-3</v>
      </c>
      <c r="C68" s="65" t="s">
        <v>70</v>
      </c>
      <c r="D68" s="95">
        <f>B12</f>
        <v>4217354</v>
      </c>
      <c r="E68" s="65" t="s">
        <v>71</v>
      </c>
      <c r="F68" s="962" t="s">
        <v>72</v>
      </c>
      <c r="G68" s="963"/>
      <c r="H68" s="56"/>
      <c r="I68" s="28" t="s">
        <v>69</v>
      </c>
      <c r="J68" s="66">
        <v>1.4E-5</v>
      </c>
      <c r="K68" s="65" t="s">
        <v>70</v>
      </c>
      <c r="L68" s="95">
        <f>J12</f>
        <v>80964</v>
      </c>
      <c r="M68" s="65" t="s">
        <v>71</v>
      </c>
      <c r="N68" s="66">
        <v>0.13800000000000001</v>
      </c>
      <c r="O68" s="65" t="s">
        <v>86</v>
      </c>
      <c r="P68" s="97"/>
      <c r="Q68" s="121" t="s">
        <v>72</v>
      </c>
    </row>
    <row r="69" spans="1:18" x14ac:dyDescent="0.25">
      <c r="A69" s="24"/>
      <c r="B69" s="96">
        <v>1000</v>
      </c>
      <c r="C69" s="57" t="s">
        <v>71</v>
      </c>
      <c r="D69" s="964" t="s">
        <v>279</v>
      </c>
      <c r="E69" s="899"/>
      <c r="F69" s="56">
        <v>2000</v>
      </c>
      <c r="G69" s="24" t="s">
        <v>70</v>
      </c>
      <c r="H69" s="56"/>
      <c r="I69" s="24"/>
      <c r="J69" s="120"/>
      <c r="K69" s="119" t="s">
        <v>86</v>
      </c>
      <c r="L69" s="96"/>
      <c r="M69" s="57" t="s">
        <v>279</v>
      </c>
      <c r="N69" s="96"/>
      <c r="O69" s="57" t="s">
        <v>71</v>
      </c>
      <c r="P69" s="56">
        <v>2000</v>
      </c>
      <c r="Q69" s="115" t="s">
        <v>70</v>
      </c>
    </row>
    <row r="72" spans="1:18" x14ac:dyDescent="0.25">
      <c r="A72" s="28" t="s">
        <v>69</v>
      </c>
      <c r="B72" s="27">
        <f>((B68/B69)*D68)/F69</f>
        <v>3.1841022700000005E-3</v>
      </c>
      <c r="C72" s="29" t="s">
        <v>72</v>
      </c>
      <c r="D72" s="28" t="s">
        <v>69</v>
      </c>
      <c r="E72" s="94">
        <f>B72*(2000/8760)</f>
        <v>7.2696398858447498E-4</v>
      </c>
      <c r="F72" s="29" t="s">
        <v>70</v>
      </c>
      <c r="G72" s="24"/>
      <c r="H72" s="24"/>
      <c r="I72" s="28" t="s">
        <v>69</v>
      </c>
      <c r="J72" s="64">
        <f>(J68*L68*N68)/P69</f>
        <v>7.8211224000000013E-5</v>
      </c>
      <c r="K72" s="29" t="s">
        <v>72</v>
      </c>
      <c r="L72" s="28" t="s">
        <v>69</v>
      </c>
      <c r="M72" s="64">
        <f>J72*(2000/8760)</f>
        <v>1.7856443835616439E-5</v>
      </c>
      <c r="N72" s="29" t="s">
        <v>70</v>
      </c>
      <c r="O72" s="24"/>
      <c r="P72" s="24"/>
      <c r="Q72" s="24"/>
    </row>
    <row r="73" spans="1:18" x14ac:dyDescent="0.25">
      <c r="A73" s="24"/>
      <c r="B73" s="24"/>
      <c r="C73" s="26" t="s">
        <v>279</v>
      </c>
      <c r="D73" s="24"/>
      <c r="E73" s="24"/>
      <c r="F73" s="26" t="s">
        <v>128</v>
      </c>
      <c r="G73" s="24"/>
      <c r="H73" s="24"/>
      <c r="I73" s="24"/>
      <c r="J73" s="24"/>
      <c r="K73" s="26" t="s">
        <v>279</v>
      </c>
      <c r="L73" s="24"/>
      <c r="M73" s="24"/>
      <c r="N73" s="26" t="s">
        <v>128</v>
      </c>
      <c r="O73" s="24"/>
      <c r="P73" s="24"/>
      <c r="Q73" s="24"/>
    </row>
    <row r="76" spans="1:18" x14ac:dyDescent="0.25">
      <c r="A76" s="1" t="s">
        <v>334</v>
      </c>
      <c r="B76" s="1"/>
      <c r="C76" s="1"/>
      <c r="D76" s="1"/>
      <c r="E76" s="1"/>
      <c r="F76" s="1"/>
      <c r="G76" s="1"/>
      <c r="J76" s="323" t="s">
        <v>334</v>
      </c>
      <c r="K76" s="24"/>
      <c r="L76" s="24"/>
      <c r="M76" s="24"/>
      <c r="N76" s="24"/>
      <c r="O76" s="24"/>
      <c r="P76" s="24"/>
      <c r="Q76" s="24"/>
      <c r="R76" s="24"/>
    </row>
    <row r="78" spans="1:18" x14ac:dyDescent="0.25">
      <c r="A78" s="4" t="s">
        <v>69</v>
      </c>
      <c r="B78" s="514">
        <f>V13</f>
        <v>24.631667341468056</v>
      </c>
      <c r="C78" s="8" t="s">
        <v>70</v>
      </c>
      <c r="D78" s="9">
        <f>D68</f>
        <v>4217354</v>
      </c>
      <c r="E78" s="8" t="s">
        <v>71</v>
      </c>
      <c r="F78" s="938" t="s">
        <v>72</v>
      </c>
      <c r="G78" s="939"/>
      <c r="J78" s="28" t="s">
        <v>69</v>
      </c>
      <c r="K78" s="514">
        <f>V14</f>
        <v>22.578420600240001</v>
      </c>
      <c r="L78" s="8" t="s">
        <v>70</v>
      </c>
      <c r="M78" s="9">
        <f>L68</f>
        <v>80964</v>
      </c>
      <c r="N78" s="8" t="s">
        <v>71</v>
      </c>
      <c r="O78" s="938" t="s">
        <v>72</v>
      </c>
      <c r="P78" s="939"/>
    </row>
    <row r="79" spans="1:18" x14ac:dyDescent="0.25">
      <c r="A79" s="1"/>
      <c r="B79" s="6"/>
      <c r="C79" s="7" t="s">
        <v>71</v>
      </c>
      <c r="D79" s="940" t="s">
        <v>279</v>
      </c>
      <c r="E79" s="941"/>
      <c r="F79" s="6">
        <v>2000</v>
      </c>
      <c r="G79" s="7" t="s">
        <v>70</v>
      </c>
      <c r="J79" s="24"/>
      <c r="K79" s="6"/>
      <c r="L79" s="7" t="s">
        <v>71</v>
      </c>
      <c r="M79" s="940" t="s">
        <v>279</v>
      </c>
      <c r="N79" s="941"/>
      <c r="O79" s="6">
        <v>2000</v>
      </c>
      <c r="P79" s="7" t="s">
        <v>70</v>
      </c>
    </row>
    <row r="82" spans="1:16" x14ac:dyDescent="0.25">
      <c r="A82" s="4" t="s">
        <v>69</v>
      </c>
      <c r="B82" s="3">
        <f>B78*D78/F79</f>
        <v>51940.230394604834</v>
      </c>
      <c r="C82" s="5" t="s">
        <v>72</v>
      </c>
      <c r="D82" s="1"/>
      <c r="E82" s="1"/>
      <c r="F82" s="1"/>
      <c r="G82" s="1"/>
      <c r="J82" s="28" t="s">
        <v>69</v>
      </c>
      <c r="K82" s="3">
        <f>K78*M78/O79</f>
        <v>914.0196227389157</v>
      </c>
      <c r="L82" s="5" t="s">
        <v>72</v>
      </c>
      <c r="M82" s="1"/>
      <c r="N82" s="1"/>
      <c r="O82" s="1"/>
      <c r="P82" s="1"/>
    </row>
    <row r="83" spans="1:16" x14ac:dyDescent="0.25">
      <c r="A83" s="1"/>
      <c r="B83" s="1"/>
      <c r="C83" s="2" t="s">
        <v>279</v>
      </c>
      <c r="D83" s="1"/>
      <c r="E83" s="1"/>
      <c r="F83" s="1"/>
      <c r="G83" s="1"/>
      <c r="J83" s="24"/>
      <c r="K83" s="1"/>
      <c r="L83" s="2" t="s">
        <v>279</v>
      </c>
      <c r="M83" s="1"/>
      <c r="N83" s="1"/>
      <c r="O83" s="1"/>
      <c r="P83" s="1"/>
    </row>
  </sheetData>
  <mergeCells count="21">
    <mergeCell ref="D19:E19"/>
    <mergeCell ref="D49:E49"/>
    <mergeCell ref="D69:E69"/>
    <mergeCell ref="F48:G48"/>
    <mergeCell ref="D59:E59"/>
    <mergeCell ref="F28:G28"/>
    <mergeCell ref="D29:E29"/>
    <mergeCell ref="F38:G38"/>
    <mergeCell ref="D39:E39"/>
    <mergeCell ref="F68:G68"/>
    <mergeCell ref="F58:G58"/>
    <mergeCell ref="I1:Q1"/>
    <mergeCell ref="I3:K3"/>
    <mergeCell ref="A1:H1"/>
    <mergeCell ref="A3:C3"/>
    <mergeCell ref="F18:G18"/>
    <mergeCell ref="F78:G78"/>
    <mergeCell ref="O78:P78"/>
    <mergeCell ref="D79:E79"/>
    <mergeCell ref="M79:N79"/>
    <mergeCell ref="H38:I38"/>
  </mergeCells>
  <pageMargins left="0.7" right="0.7" top="0.75" bottom="0.75" header="0.3" footer="0.3"/>
  <pageSetup scale="85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C144-7161-47F7-ADAF-6E828775D9D3}">
  <sheetPr codeName="Sheet17"/>
  <dimension ref="A1:U83"/>
  <sheetViews>
    <sheetView workbookViewId="0">
      <selection sqref="A1:P1"/>
    </sheetView>
  </sheetViews>
  <sheetFormatPr defaultRowHeight="15" x14ac:dyDescent="0.25"/>
  <cols>
    <col min="1" max="2" width="18.28515625" customWidth="1"/>
    <col min="3" max="3" width="16.5703125" customWidth="1"/>
    <col min="4" max="4" width="12.42578125" customWidth="1"/>
    <col min="5" max="5" width="11.5703125" customWidth="1"/>
    <col min="6" max="6" width="13.5703125" customWidth="1"/>
    <col min="7" max="7" width="4.85546875" customWidth="1"/>
    <col min="8" max="8" width="12" bestFit="1" customWidth="1"/>
    <col min="9" max="9" width="8.28515625" bestFit="1" customWidth="1"/>
    <col min="10" max="10" width="5.5703125" bestFit="1" customWidth="1"/>
    <col min="11" max="11" width="3.42578125" bestFit="1" customWidth="1"/>
    <col min="12" max="12" width="7.28515625" customWidth="1"/>
    <col min="13" max="13" width="12.7109375" bestFit="1" customWidth="1"/>
    <col min="14" max="14" width="8.5703125" bestFit="1" customWidth="1"/>
    <col min="15" max="15" width="9.140625" bestFit="1" customWidth="1"/>
    <col min="16" max="16" width="8.28515625" bestFit="1" customWidth="1"/>
    <col min="17" max="17" width="1.7109375" bestFit="1" customWidth="1"/>
    <col min="18" max="18" width="8" bestFit="1" customWidth="1"/>
    <col min="19" max="19" width="8.28515625" bestFit="1" customWidth="1"/>
    <col min="20" max="20" width="5.5703125" bestFit="1" customWidth="1"/>
    <col min="21" max="21" width="3.42578125" bestFit="1" customWidth="1"/>
    <col min="23" max="23" width="12" bestFit="1" customWidth="1"/>
  </cols>
  <sheetData>
    <row r="1" spans="1:16" x14ac:dyDescent="0.25">
      <c r="A1" s="900" t="s">
        <v>435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</row>
    <row r="2" spans="1:16" ht="15.75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45.95" customHeight="1" thickBot="1" x14ac:dyDescent="0.3">
      <c r="A3" s="152" t="s">
        <v>159</v>
      </c>
      <c r="B3" s="151" t="s">
        <v>269</v>
      </c>
      <c r="C3" s="151" t="s">
        <v>304</v>
      </c>
      <c r="D3" s="150" t="s">
        <v>274</v>
      </c>
      <c r="E3" s="150" t="s">
        <v>174</v>
      </c>
      <c r="M3" s="70"/>
      <c r="N3" s="70"/>
      <c r="O3" s="70"/>
      <c r="P3" s="70"/>
    </row>
    <row r="4" spans="1:16" x14ac:dyDescent="0.25">
      <c r="A4" s="149" t="s">
        <v>57</v>
      </c>
      <c r="B4" s="148">
        <v>0.11</v>
      </c>
      <c r="C4" s="148">
        <v>0.1731</v>
      </c>
      <c r="D4" s="34">
        <f>B23</f>
        <v>1.9529232012000002</v>
      </c>
      <c r="E4" s="91">
        <f>F23</f>
        <v>0.4458728769863014</v>
      </c>
      <c r="J4" s="55"/>
      <c r="K4" s="142"/>
      <c r="L4" s="142"/>
      <c r="M4" s="70"/>
      <c r="N4" s="70"/>
      <c r="O4" s="70"/>
      <c r="P4" s="70"/>
    </row>
    <row r="5" spans="1:16" x14ac:dyDescent="0.25">
      <c r="A5" s="523" t="s">
        <v>61</v>
      </c>
      <c r="B5" s="524">
        <v>7.6999999999999999E-2</v>
      </c>
      <c r="C5" s="467">
        <v>3.4299999999999997E-2</v>
      </c>
      <c r="D5" s="525">
        <f>B29</f>
        <v>0.38697438360000003</v>
      </c>
      <c r="E5" s="526">
        <f>F29</f>
        <v>8.8350315890410966E-2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x14ac:dyDescent="0.25">
      <c r="A6" s="523" t="s">
        <v>59</v>
      </c>
      <c r="B6" s="524">
        <v>8.0999999999999996E-3</v>
      </c>
      <c r="C6" s="524">
        <v>7.1000000000000004E-3</v>
      </c>
      <c r="D6" s="525">
        <f>B35</f>
        <v>8.0102569200000015E-2</v>
      </c>
      <c r="E6" s="526">
        <f>F35</f>
        <v>1.8288257808219181E-2</v>
      </c>
      <c r="F6" s="901" t="s">
        <v>169</v>
      </c>
      <c r="G6" s="902"/>
      <c r="H6" s="902"/>
      <c r="I6" s="902"/>
      <c r="J6" s="902"/>
      <c r="K6" s="902"/>
      <c r="L6" s="902"/>
      <c r="M6" s="902"/>
      <c r="N6" s="902"/>
      <c r="O6" s="161"/>
      <c r="P6" s="161"/>
    </row>
    <row r="7" spans="1:16" x14ac:dyDescent="0.25">
      <c r="A7" s="523" t="s">
        <v>54</v>
      </c>
      <c r="B7" s="527">
        <v>0.01</v>
      </c>
      <c r="C7" s="467">
        <v>1.77E-2</v>
      </c>
      <c r="D7" s="525">
        <f>B41</f>
        <v>0.19969232040000004</v>
      </c>
      <c r="E7" s="526">
        <f>F41</f>
        <v>4.5591853972602743E-2</v>
      </c>
      <c r="F7" s="160" t="s">
        <v>275</v>
      </c>
      <c r="G7" s="485" t="s">
        <v>348</v>
      </c>
      <c r="I7" s="141"/>
      <c r="J7" s="141"/>
      <c r="K7" s="141"/>
      <c r="L7" s="141"/>
      <c r="M7" s="141"/>
      <c r="N7" s="141"/>
      <c r="O7" s="141"/>
      <c r="P7" s="141"/>
    </row>
    <row r="8" spans="1:16" x14ac:dyDescent="0.25">
      <c r="A8" s="523" t="s">
        <v>113</v>
      </c>
      <c r="B8" s="527">
        <v>0.01</v>
      </c>
      <c r="C8" s="467">
        <v>1.77E-2</v>
      </c>
      <c r="D8" s="525">
        <f>B47</f>
        <v>0.19969232040000004</v>
      </c>
      <c r="E8" s="528">
        <f>F47</f>
        <v>4.5591853972602743E-2</v>
      </c>
      <c r="F8" s="157"/>
      <c r="G8" s="485" t="s">
        <v>349</v>
      </c>
      <c r="H8" s="141"/>
      <c r="I8" s="141"/>
      <c r="J8" s="141"/>
      <c r="K8" s="141"/>
      <c r="L8" s="141"/>
      <c r="M8" s="141"/>
      <c r="N8" s="141"/>
      <c r="O8" s="141"/>
    </row>
    <row r="9" spans="1:16" x14ac:dyDescent="0.25">
      <c r="A9" s="523" t="s">
        <v>155</v>
      </c>
      <c r="B9" s="527">
        <v>0.01</v>
      </c>
      <c r="C9" s="467">
        <v>1.77E-2</v>
      </c>
      <c r="D9" s="525">
        <f>B53</f>
        <v>0.19969232040000004</v>
      </c>
      <c r="E9" s="526">
        <f>F53</f>
        <v>4.5591853972602743E-2</v>
      </c>
      <c r="F9" s="31"/>
      <c r="G9" s="141" t="s">
        <v>160</v>
      </c>
      <c r="H9" s="141"/>
      <c r="I9" s="141"/>
      <c r="J9" s="141"/>
      <c r="K9" s="141"/>
      <c r="L9" s="141"/>
      <c r="M9" s="141"/>
      <c r="N9" s="141"/>
      <c r="O9" s="141"/>
    </row>
    <row r="10" spans="1:16" x14ac:dyDescent="0.25">
      <c r="A10" s="523" t="s">
        <v>141</v>
      </c>
      <c r="B10" s="529">
        <f>1*2/7000/100/1026*1000000</f>
        <v>2.7847396268448903E-3</v>
      </c>
      <c r="C10" s="484">
        <v>1.5E-3</v>
      </c>
      <c r="D10" s="525">
        <f>B59</f>
        <v>1.6923078000609167E-2</v>
      </c>
      <c r="E10" s="526">
        <f>F59</f>
        <v>3.8637164384952433E-3</v>
      </c>
      <c r="F10" s="31"/>
      <c r="G10" s="31"/>
      <c r="H10" s="157"/>
      <c r="I10" s="157"/>
      <c r="J10" s="157"/>
      <c r="K10" s="157"/>
      <c r="L10" s="157"/>
      <c r="M10" s="157"/>
      <c r="N10" s="157"/>
      <c r="O10" s="157"/>
      <c r="P10" s="157"/>
    </row>
    <row r="11" spans="1:16" x14ac:dyDescent="0.25">
      <c r="A11" s="523" t="s">
        <v>114</v>
      </c>
      <c r="B11" s="530">
        <f>B10*0.1*98/64</f>
        <v>4.2641325536062387E-4</v>
      </c>
      <c r="C11" s="530">
        <f>C10*0.1*98/64</f>
        <v>2.2968750000000002E-4</v>
      </c>
      <c r="D11" s="525">
        <f>B65</f>
        <v>2.5913463187500008E-3</v>
      </c>
      <c r="E11" s="526">
        <f>F65</f>
        <v>5.9163157962328786E-4</v>
      </c>
      <c r="F11" s="163" t="s">
        <v>170</v>
      </c>
      <c r="G11" s="141" t="s">
        <v>278</v>
      </c>
      <c r="H11" s="141"/>
      <c r="I11" s="141"/>
      <c r="J11" s="141"/>
      <c r="K11" s="141"/>
      <c r="L11" s="141"/>
      <c r="N11" s="157"/>
      <c r="O11" s="157"/>
      <c r="P11" s="157"/>
    </row>
    <row r="12" spans="1:16" x14ac:dyDescent="0.25">
      <c r="A12" s="523" t="s">
        <v>63</v>
      </c>
      <c r="B12" s="524">
        <v>0</v>
      </c>
      <c r="C12" s="471">
        <v>1.4E-5</v>
      </c>
      <c r="D12" s="525">
        <f>B71</f>
        <v>1.57948728E-4</v>
      </c>
      <c r="E12" s="526">
        <f>F71</f>
        <v>3.6061353424657534E-5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x14ac:dyDescent="0.25">
      <c r="A13" s="500" t="s">
        <v>328</v>
      </c>
      <c r="B13" s="531">
        <f>(53.06+0.001*25+0.0001*298)*2.2046</f>
        <v>117.09688808000001</v>
      </c>
      <c r="C13" s="531">
        <v>163.61000000000001</v>
      </c>
      <c r="D13" s="508">
        <f>B77</f>
        <v>1845.8566450334711</v>
      </c>
      <c r="E13" s="509">
        <f>F77</f>
        <v>421.42845777019886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 ht="15.75" thickBot="1" x14ac:dyDescent="0.3">
      <c r="A14" s="153" t="s">
        <v>156</v>
      </c>
      <c r="B14" s="154">
        <v>0</v>
      </c>
      <c r="C14" s="468">
        <v>0</v>
      </c>
      <c r="D14" s="155">
        <v>0</v>
      </c>
      <c r="E14" s="156"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x14ac:dyDescent="0.25">
      <c r="A15" s="158"/>
      <c r="B15" s="158"/>
      <c r="C15" s="158"/>
      <c r="D15" s="158"/>
      <c r="E15" s="55"/>
      <c r="H15" s="70"/>
      <c r="I15" s="70"/>
      <c r="J15" s="70"/>
      <c r="K15" s="70"/>
      <c r="L15" s="70"/>
      <c r="M15" s="70"/>
      <c r="N15" s="70"/>
      <c r="O15" s="70"/>
      <c r="P15" s="70"/>
    </row>
    <row r="16" spans="1:16" x14ac:dyDescent="0.25">
      <c r="A16" s="329" t="s">
        <v>350</v>
      </c>
      <c r="B16" s="532">
        <f>'Palo Seco'!E43</f>
        <v>163508</v>
      </c>
      <c r="C16" s="532"/>
      <c r="D16" s="470" t="s">
        <v>268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21" x14ac:dyDescent="0.25">
      <c r="A17" s="330" t="s">
        <v>351</v>
      </c>
      <c r="B17" s="533">
        <f>'Palo Seco'!I43</f>
        <v>0</v>
      </c>
      <c r="C17" s="533"/>
      <c r="D17" s="472" t="s">
        <v>271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21" x14ac:dyDescent="0.25">
      <c r="A18" s="194" t="s">
        <v>288</v>
      </c>
      <c r="B18" s="193">
        <v>0.01</v>
      </c>
      <c r="D18" t="s">
        <v>127</v>
      </c>
      <c r="M18" s="70"/>
      <c r="N18" s="70"/>
      <c r="O18" s="70"/>
      <c r="P18" s="70"/>
    </row>
    <row r="19" spans="1:2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21" ht="15.75" x14ac:dyDescent="0.25">
      <c r="A20" s="136" t="s">
        <v>182</v>
      </c>
      <c r="B20" s="164">
        <f>B16</f>
        <v>163508</v>
      </c>
      <c r="C20" s="469"/>
      <c r="D20" s="165" t="s">
        <v>171</v>
      </c>
      <c r="E20" s="534">
        <v>0.13800000000000001</v>
      </c>
      <c r="F20" s="535" t="s">
        <v>172</v>
      </c>
      <c r="G20" s="896" t="s">
        <v>183</v>
      </c>
      <c r="H20" s="536">
        <f>C4</f>
        <v>0.1731</v>
      </c>
      <c r="I20" s="169" t="s">
        <v>177</v>
      </c>
      <c r="J20" s="536">
        <v>1</v>
      </c>
      <c r="K20" s="536" t="s">
        <v>72</v>
      </c>
      <c r="L20" s="139" t="s">
        <v>173</v>
      </c>
      <c r="M20" s="537">
        <f>B17</f>
        <v>0</v>
      </c>
      <c r="N20" s="535" t="s">
        <v>175</v>
      </c>
      <c r="O20" s="164">
        <v>1026</v>
      </c>
      <c r="P20" s="165" t="s">
        <v>176</v>
      </c>
      <c r="Q20" s="896" t="s">
        <v>183</v>
      </c>
      <c r="R20" s="536">
        <f>B4</f>
        <v>0.11</v>
      </c>
      <c r="S20" s="169" t="s">
        <v>177</v>
      </c>
      <c r="T20" s="536">
        <v>1</v>
      </c>
      <c r="U20" s="536" t="s">
        <v>72</v>
      </c>
    </row>
    <row r="21" spans="1:21" x14ac:dyDescent="0.25">
      <c r="A21" s="31"/>
      <c r="B21" s="30"/>
      <c r="C21" s="31"/>
      <c r="D21" s="475" t="s">
        <v>279</v>
      </c>
      <c r="E21" s="31"/>
      <c r="F21" s="63" t="s">
        <v>71</v>
      </c>
      <c r="G21" s="896"/>
      <c r="H21" s="70"/>
      <c r="I21" s="170" t="s">
        <v>119</v>
      </c>
      <c r="J21" s="171">
        <v>2000</v>
      </c>
      <c r="K21" s="70" t="s">
        <v>118</v>
      </c>
      <c r="L21" s="31"/>
      <c r="M21" s="31"/>
      <c r="N21" s="63" t="s">
        <v>279</v>
      </c>
      <c r="O21" s="474">
        <v>1000000</v>
      </c>
      <c r="P21" s="166" t="s">
        <v>31</v>
      </c>
      <c r="Q21" s="896"/>
      <c r="R21" s="70"/>
      <c r="S21" s="170" t="s">
        <v>119</v>
      </c>
      <c r="T21" s="171">
        <v>2000</v>
      </c>
      <c r="U21" s="70" t="s">
        <v>118</v>
      </c>
    </row>
    <row r="22" spans="1:2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1" x14ac:dyDescent="0.25">
      <c r="A23" s="136"/>
      <c r="B23" s="67">
        <f>(B20*E20*H20+M20*O20*R20/1000000)/2000</f>
        <v>1.9529232012000002</v>
      </c>
      <c r="C23" s="67"/>
      <c r="D23" s="70" t="s">
        <v>280</v>
      </c>
      <c r="E23" s="136" t="s">
        <v>69</v>
      </c>
      <c r="F23" s="55">
        <f>B23*(2000/8760)</f>
        <v>0.4458728769863014</v>
      </c>
      <c r="G23" s="70" t="s">
        <v>161</v>
      </c>
      <c r="H23" s="22"/>
      <c r="I23" s="70"/>
      <c r="J23" s="70"/>
      <c r="K23" s="70"/>
      <c r="L23" s="70"/>
      <c r="M23" s="70"/>
      <c r="N23" s="70"/>
      <c r="O23" s="70"/>
      <c r="P23" s="70"/>
    </row>
    <row r="24" spans="1:21" x14ac:dyDescent="0.25">
      <c r="A24" s="70"/>
      <c r="B24" s="70"/>
      <c r="C24" s="70"/>
      <c r="D24" s="70"/>
      <c r="E24" s="70"/>
      <c r="F24" s="70"/>
      <c r="G24" s="70"/>
      <c r="H24" s="69"/>
      <c r="I24" s="69"/>
      <c r="J24" s="69"/>
      <c r="K24" s="70"/>
      <c r="L24" s="70"/>
      <c r="M24" s="70"/>
      <c r="N24" s="70"/>
      <c r="O24" s="70"/>
      <c r="P24" s="70"/>
    </row>
    <row r="25" spans="1:2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25">
      <c r="A26" s="136" t="s">
        <v>162</v>
      </c>
      <c r="B26" s="164">
        <f>B16</f>
        <v>163508</v>
      </c>
      <c r="C26" s="469"/>
      <c r="D26" s="165" t="s">
        <v>171</v>
      </c>
      <c r="E26" s="534">
        <v>0.13800000000000001</v>
      </c>
      <c r="F26" s="535" t="s">
        <v>172</v>
      </c>
      <c r="G26" s="896" t="s">
        <v>183</v>
      </c>
      <c r="H26" s="536">
        <f>C5</f>
        <v>3.4299999999999997E-2</v>
      </c>
      <c r="I26" s="169" t="s">
        <v>177</v>
      </c>
      <c r="J26" s="536">
        <v>1</v>
      </c>
      <c r="K26" s="536" t="s">
        <v>72</v>
      </c>
      <c r="L26" s="139" t="s">
        <v>173</v>
      </c>
      <c r="M26" s="537">
        <f>B17</f>
        <v>0</v>
      </c>
      <c r="N26" s="165" t="s">
        <v>175</v>
      </c>
      <c r="O26" s="469">
        <v>1026</v>
      </c>
      <c r="P26" s="165" t="s">
        <v>176</v>
      </c>
      <c r="Q26" s="30" t="s">
        <v>183</v>
      </c>
      <c r="R26" s="536">
        <f>B5</f>
        <v>7.6999999999999999E-2</v>
      </c>
      <c r="S26" s="169" t="s">
        <v>177</v>
      </c>
      <c r="T26" s="168">
        <v>1</v>
      </c>
      <c r="U26" s="536" t="s">
        <v>72</v>
      </c>
    </row>
    <row r="27" spans="1:21" x14ac:dyDescent="0.25">
      <c r="A27" s="31"/>
      <c r="B27" s="30"/>
      <c r="C27" s="31"/>
      <c r="D27" s="166" t="s">
        <v>279</v>
      </c>
      <c r="E27" s="31"/>
      <c r="F27" s="538" t="s">
        <v>71</v>
      </c>
      <c r="G27" s="896"/>
      <c r="H27" s="70"/>
      <c r="I27" s="170" t="s">
        <v>119</v>
      </c>
      <c r="J27" s="171">
        <v>2000</v>
      </c>
      <c r="K27" s="70" t="s">
        <v>118</v>
      </c>
      <c r="L27" s="31"/>
      <c r="M27" s="31"/>
      <c r="N27" s="166" t="s">
        <v>279</v>
      </c>
      <c r="O27" s="476">
        <v>1000000</v>
      </c>
      <c r="P27" s="166" t="s">
        <v>31</v>
      </c>
      <c r="Q27" s="30"/>
      <c r="R27" s="70"/>
      <c r="S27" s="170" t="s">
        <v>119</v>
      </c>
      <c r="T27" s="173">
        <v>2000</v>
      </c>
      <c r="U27" s="70" t="s">
        <v>118</v>
      </c>
    </row>
    <row r="28" spans="1:2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1" x14ac:dyDescent="0.25">
      <c r="A29" s="136"/>
      <c r="B29" s="67">
        <f>(B26*E26*H26+M26*O26*R26/1000000)/2000</f>
        <v>0.38697438360000003</v>
      </c>
      <c r="C29" s="67"/>
      <c r="D29" s="70" t="s">
        <v>280</v>
      </c>
      <c r="E29" s="136" t="s">
        <v>69</v>
      </c>
      <c r="F29" s="55">
        <f>B29*(2000/8760)</f>
        <v>8.8350315890410966E-2</v>
      </c>
      <c r="G29" s="70" t="s">
        <v>161</v>
      </c>
      <c r="I29" s="70"/>
      <c r="J29" s="70"/>
      <c r="K29" s="70"/>
      <c r="L29" s="70"/>
      <c r="M29" s="70"/>
      <c r="N29" s="70"/>
      <c r="O29" s="70"/>
      <c r="P29" s="70"/>
    </row>
    <row r="30" spans="1:2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1" x14ac:dyDescent="0.25">
      <c r="A32" s="136" t="s">
        <v>163</v>
      </c>
      <c r="B32" s="164">
        <f>B16</f>
        <v>163508</v>
      </c>
      <c r="C32" s="469"/>
      <c r="D32" s="165" t="s">
        <v>171</v>
      </c>
      <c r="E32" s="534">
        <v>0.13800000000000001</v>
      </c>
      <c r="F32" s="535" t="s">
        <v>172</v>
      </c>
      <c r="G32" s="896" t="s">
        <v>183</v>
      </c>
      <c r="H32" s="536">
        <f>C6</f>
        <v>7.1000000000000004E-3</v>
      </c>
      <c r="I32" s="169" t="s">
        <v>177</v>
      </c>
      <c r="J32" s="536">
        <v>1</v>
      </c>
      <c r="K32" s="536" t="s">
        <v>72</v>
      </c>
      <c r="L32" s="139" t="s">
        <v>173</v>
      </c>
      <c r="M32" s="537">
        <f>B17</f>
        <v>0</v>
      </c>
      <c r="N32" s="165" t="s">
        <v>175</v>
      </c>
      <c r="O32" s="469">
        <v>1026</v>
      </c>
      <c r="P32" s="165" t="s">
        <v>176</v>
      </c>
      <c r="Q32" s="30" t="s">
        <v>183</v>
      </c>
      <c r="R32" s="536">
        <f>B6</f>
        <v>8.0999999999999996E-3</v>
      </c>
      <c r="S32" s="169" t="s">
        <v>177</v>
      </c>
      <c r="T32" s="536">
        <v>1</v>
      </c>
      <c r="U32" s="536" t="s">
        <v>72</v>
      </c>
    </row>
    <row r="33" spans="1:21" x14ac:dyDescent="0.25">
      <c r="A33" s="31"/>
      <c r="B33" s="30"/>
      <c r="C33" s="31"/>
      <c r="D33" s="166" t="s">
        <v>279</v>
      </c>
      <c r="E33" s="31"/>
      <c r="F33" s="63" t="s">
        <v>71</v>
      </c>
      <c r="G33" s="896"/>
      <c r="H33" s="70"/>
      <c r="I33" s="170" t="s">
        <v>119</v>
      </c>
      <c r="J33" s="171">
        <v>2000</v>
      </c>
      <c r="K33" s="70" t="s">
        <v>118</v>
      </c>
      <c r="L33" s="31"/>
      <c r="M33" s="31"/>
      <c r="N33" s="166" t="s">
        <v>279</v>
      </c>
      <c r="O33" s="476">
        <v>1000000</v>
      </c>
      <c r="P33" s="166" t="s">
        <v>31</v>
      </c>
      <c r="Q33" s="30"/>
      <c r="R33" s="70"/>
      <c r="S33" s="170" t="s">
        <v>119</v>
      </c>
      <c r="T33" s="171">
        <v>2000</v>
      </c>
      <c r="U33" s="70" t="s">
        <v>118</v>
      </c>
    </row>
    <row r="34" spans="1:2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21" x14ac:dyDescent="0.25">
      <c r="A35" s="136"/>
      <c r="B35" s="67">
        <f>(B32*E32*H32+M32*O32*R32/1000000)/2000</f>
        <v>8.0102569200000015E-2</v>
      </c>
      <c r="C35" s="67"/>
      <c r="D35" s="70" t="s">
        <v>280</v>
      </c>
      <c r="E35" s="136" t="s">
        <v>69</v>
      </c>
      <c r="F35" s="55">
        <f>B35*(2000/8760)</f>
        <v>1.8288257808219181E-2</v>
      </c>
      <c r="G35" s="70" t="s">
        <v>161</v>
      </c>
      <c r="I35" s="70"/>
      <c r="J35" s="70"/>
      <c r="K35" s="70"/>
      <c r="L35" s="70"/>
      <c r="M35" s="70"/>
      <c r="N35" s="70"/>
      <c r="O35" s="70"/>
      <c r="P35" s="70"/>
    </row>
    <row r="36" spans="1:2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2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21" x14ac:dyDescent="0.25">
      <c r="A38" s="136" t="s">
        <v>164</v>
      </c>
      <c r="B38" s="164">
        <f>B16</f>
        <v>163508</v>
      </c>
      <c r="C38" s="469"/>
      <c r="D38" s="165" t="s">
        <v>171</v>
      </c>
      <c r="E38" s="534">
        <v>0.13800000000000001</v>
      </c>
      <c r="F38" s="535" t="s">
        <v>172</v>
      </c>
      <c r="G38" s="896" t="s">
        <v>183</v>
      </c>
      <c r="H38" s="536">
        <f>C7</f>
        <v>1.77E-2</v>
      </c>
      <c r="I38" s="169" t="s">
        <v>177</v>
      </c>
      <c r="J38" s="536">
        <v>1</v>
      </c>
      <c r="K38" s="536" t="s">
        <v>72</v>
      </c>
      <c r="L38" s="139" t="s">
        <v>173</v>
      </c>
      <c r="M38" s="537">
        <f>B17</f>
        <v>0</v>
      </c>
      <c r="N38" s="165" t="s">
        <v>175</v>
      </c>
      <c r="O38" s="469">
        <v>1026</v>
      </c>
      <c r="P38" s="165" t="s">
        <v>176</v>
      </c>
      <c r="Q38" s="30" t="s">
        <v>183</v>
      </c>
      <c r="R38" s="536">
        <f>B7</f>
        <v>0.01</v>
      </c>
      <c r="S38" s="169" t="s">
        <v>177</v>
      </c>
      <c r="T38" s="536">
        <v>1</v>
      </c>
      <c r="U38" s="536" t="s">
        <v>72</v>
      </c>
    </row>
    <row r="39" spans="1:21" x14ac:dyDescent="0.25">
      <c r="A39" s="31"/>
      <c r="B39" s="30"/>
      <c r="C39" s="31"/>
      <c r="D39" s="166" t="s">
        <v>279</v>
      </c>
      <c r="E39" s="31"/>
      <c r="F39" s="63" t="s">
        <v>71</v>
      </c>
      <c r="G39" s="896"/>
      <c r="H39" s="70"/>
      <c r="I39" s="170" t="s">
        <v>119</v>
      </c>
      <c r="J39" s="171">
        <v>2000</v>
      </c>
      <c r="K39" s="70" t="s">
        <v>118</v>
      </c>
      <c r="L39" s="31"/>
      <c r="M39" s="31"/>
      <c r="N39" s="166" t="s">
        <v>279</v>
      </c>
      <c r="O39" s="476">
        <v>1000000</v>
      </c>
      <c r="P39" s="166" t="s">
        <v>31</v>
      </c>
      <c r="Q39" s="30"/>
      <c r="R39" s="70"/>
      <c r="S39" s="170" t="s">
        <v>119</v>
      </c>
      <c r="T39" s="171">
        <v>2000</v>
      </c>
      <c r="U39" s="70" t="s">
        <v>118</v>
      </c>
    </row>
    <row r="40" spans="1:21" x14ac:dyDescent="0.25">
      <c r="A40" s="70"/>
      <c r="B40" s="70"/>
      <c r="C40" s="70"/>
      <c r="D40" s="70"/>
      <c r="E40" s="70"/>
      <c r="F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5">
      <c r="A41" s="136"/>
      <c r="B41" s="67">
        <f>(B38*E38*H38+M38*O38*R38/1000000)/2000</f>
        <v>0.19969232040000004</v>
      </c>
      <c r="C41" s="67"/>
      <c r="D41" s="70" t="s">
        <v>280</v>
      </c>
      <c r="E41" s="136" t="s">
        <v>69</v>
      </c>
      <c r="F41" s="55">
        <f>B41*(2000/8760)</f>
        <v>4.5591853972602743E-2</v>
      </c>
      <c r="G41" s="70" t="s">
        <v>161</v>
      </c>
      <c r="L41" s="70" t="s">
        <v>161</v>
      </c>
      <c r="N41" s="70"/>
      <c r="O41" s="70"/>
      <c r="P41" s="70"/>
      <c r="Q41" s="70"/>
      <c r="R41" s="70"/>
      <c r="S41" s="70"/>
      <c r="T41" s="70"/>
      <c r="U41" s="70"/>
    </row>
    <row r="42" spans="1:21" x14ac:dyDescent="0.25">
      <c r="A42" s="136"/>
      <c r="B42" s="67"/>
      <c r="C42" s="67"/>
      <c r="D42" s="70"/>
      <c r="E42" s="136"/>
      <c r="F42" s="55"/>
      <c r="L42" s="70"/>
      <c r="N42" s="70"/>
      <c r="O42" s="70"/>
      <c r="P42" s="70"/>
      <c r="Q42" s="70"/>
      <c r="R42" s="70"/>
      <c r="S42" s="70"/>
      <c r="T42" s="70"/>
      <c r="U42" s="70"/>
    </row>
    <row r="43" spans="1:21" x14ac:dyDescent="0.25">
      <c r="A43" s="136"/>
      <c r="B43" s="67"/>
      <c r="C43" s="67"/>
      <c r="D43" s="70"/>
      <c r="E43" s="136"/>
      <c r="F43" s="55"/>
      <c r="L43" s="70"/>
      <c r="N43" s="70"/>
      <c r="O43" s="70"/>
      <c r="P43" s="70"/>
      <c r="Q43" s="70"/>
      <c r="R43" s="70"/>
      <c r="S43" s="70"/>
      <c r="T43" s="70"/>
      <c r="U43" s="70"/>
    </row>
    <row r="44" spans="1:21" ht="15.75" x14ac:dyDescent="0.25">
      <c r="A44" s="136" t="s">
        <v>178</v>
      </c>
      <c r="B44" s="164">
        <f>B16</f>
        <v>163508</v>
      </c>
      <c r="C44" s="469"/>
      <c r="D44" s="165" t="s">
        <v>171</v>
      </c>
      <c r="E44" s="534">
        <v>0.13800000000000001</v>
      </c>
      <c r="F44" s="535" t="s">
        <v>172</v>
      </c>
      <c r="G44" s="896" t="s">
        <v>183</v>
      </c>
      <c r="H44" s="536">
        <f>C8</f>
        <v>1.77E-2</v>
      </c>
      <c r="I44" s="169" t="s">
        <v>177</v>
      </c>
      <c r="J44" s="536">
        <v>1</v>
      </c>
      <c r="K44" s="536" t="s">
        <v>72</v>
      </c>
      <c r="L44" s="139" t="s">
        <v>173</v>
      </c>
      <c r="M44" s="537">
        <f>B17</f>
        <v>0</v>
      </c>
      <c r="N44" s="165" t="s">
        <v>175</v>
      </c>
      <c r="O44" s="469">
        <v>1026</v>
      </c>
      <c r="P44" s="165" t="s">
        <v>176</v>
      </c>
      <c r="Q44" s="30" t="s">
        <v>183</v>
      </c>
      <c r="R44" s="536">
        <f>B8</f>
        <v>0.01</v>
      </c>
      <c r="S44" s="169" t="s">
        <v>177</v>
      </c>
      <c r="T44" s="536">
        <v>1</v>
      </c>
      <c r="U44" s="536" t="s">
        <v>72</v>
      </c>
    </row>
    <row r="45" spans="1:21" x14ac:dyDescent="0.25">
      <c r="A45" s="31"/>
      <c r="B45" s="30"/>
      <c r="C45" s="31"/>
      <c r="D45" s="166" t="s">
        <v>279</v>
      </c>
      <c r="E45" s="31"/>
      <c r="F45" s="63" t="s">
        <v>71</v>
      </c>
      <c r="G45" s="896"/>
      <c r="H45" s="70"/>
      <c r="I45" s="170" t="s">
        <v>119</v>
      </c>
      <c r="J45" s="171">
        <v>2000</v>
      </c>
      <c r="K45" s="70" t="s">
        <v>118</v>
      </c>
      <c r="L45" s="31"/>
      <c r="M45" s="31"/>
      <c r="N45" s="166" t="s">
        <v>279</v>
      </c>
      <c r="O45" s="476">
        <v>1000000</v>
      </c>
      <c r="P45" s="166" t="s">
        <v>31</v>
      </c>
      <c r="Q45" s="30"/>
      <c r="R45" s="70"/>
      <c r="S45" s="170" t="s">
        <v>119</v>
      </c>
      <c r="T45" s="171">
        <v>2000</v>
      </c>
      <c r="U45" s="70" t="s">
        <v>118</v>
      </c>
    </row>
    <row r="46" spans="1:21" x14ac:dyDescent="0.25">
      <c r="A46" s="70"/>
      <c r="B46" s="70"/>
      <c r="C46" s="70"/>
      <c r="D46" s="70"/>
      <c r="E46" s="70"/>
      <c r="F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x14ac:dyDescent="0.25">
      <c r="A47" s="136"/>
      <c r="B47" s="67">
        <f>(B44*E44*H44+M44*O44*R44/1000000)/2000</f>
        <v>0.19969232040000004</v>
      </c>
      <c r="C47" s="67"/>
      <c r="D47" s="70" t="s">
        <v>280</v>
      </c>
      <c r="E47" s="136" t="s">
        <v>69</v>
      </c>
      <c r="F47" s="55">
        <f>B47*(2000/8760)</f>
        <v>4.5591853972602743E-2</v>
      </c>
      <c r="G47" s="70" t="s">
        <v>161</v>
      </c>
      <c r="L47" s="70" t="s">
        <v>161</v>
      </c>
      <c r="N47" s="70"/>
      <c r="O47" s="70"/>
      <c r="P47" s="70"/>
      <c r="Q47" s="70"/>
      <c r="R47" s="70"/>
      <c r="S47" s="70"/>
      <c r="T47" s="70"/>
      <c r="U47" s="70"/>
    </row>
    <row r="48" spans="1:21" x14ac:dyDescent="0.25">
      <c r="A48" s="70"/>
      <c r="B48" s="70"/>
      <c r="C48" s="70"/>
      <c r="D48" s="70"/>
      <c r="E48" s="70"/>
      <c r="F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25">
      <c r="A49" s="70"/>
      <c r="B49" s="70"/>
      <c r="C49" s="70"/>
      <c r="D49" s="70"/>
      <c r="E49" s="70"/>
      <c r="F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5.75" x14ac:dyDescent="0.25">
      <c r="A50" s="136" t="s">
        <v>179</v>
      </c>
      <c r="B50" s="164">
        <f>B16</f>
        <v>163508</v>
      </c>
      <c r="C50" s="469"/>
      <c r="D50" s="165" t="s">
        <v>171</v>
      </c>
      <c r="E50" s="534">
        <v>0.13800000000000001</v>
      </c>
      <c r="F50" s="535" t="s">
        <v>172</v>
      </c>
      <c r="G50" s="896" t="s">
        <v>183</v>
      </c>
      <c r="H50" s="536">
        <f>C9</f>
        <v>1.77E-2</v>
      </c>
      <c r="I50" s="169" t="s">
        <v>177</v>
      </c>
      <c r="J50" s="536">
        <v>1</v>
      </c>
      <c r="K50" s="536" t="s">
        <v>72</v>
      </c>
      <c r="L50" s="139" t="s">
        <v>173</v>
      </c>
      <c r="M50" s="537">
        <f>B17</f>
        <v>0</v>
      </c>
      <c r="N50" s="165" t="s">
        <v>175</v>
      </c>
      <c r="O50" s="469">
        <v>1026</v>
      </c>
      <c r="P50" s="165" t="s">
        <v>176</v>
      </c>
      <c r="Q50" s="30" t="s">
        <v>183</v>
      </c>
      <c r="R50" s="536">
        <f>B9</f>
        <v>0.01</v>
      </c>
      <c r="S50" s="169" t="s">
        <v>177</v>
      </c>
      <c r="T50" s="536">
        <v>1</v>
      </c>
      <c r="U50" s="536" t="s">
        <v>72</v>
      </c>
    </row>
    <row r="51" spans="1:21" x14ac:dyDescent="0.25">
      <c r="A51" s="31"/>
      <c r="B51" s="30"/>
      <c r="C51" s="31"/>
      <c r="D51" s="166" t="s">
        <v>279</v>
      </c>
      <c r="E51" s="31"/>
      <c r="F51" s="63" t="s">
        <v>71</v>
      </c>
      <c r="G51" s="896"/>
      <c r="H51" s="70"/>
      <c r="I51" s="170" t="s">
        <v>119</v>
      </c>
      <c r="J51" s="171">
        <v>2000</v>
      </c>
      <c r="K51" s="70" t="s">
        <v>118</v>
      </c>
      <c r="L51" s="31"/>
      <c r="M51" s="31"/>
      <c r="N51" s="166" t="s">
        <v>279</v>
      </c>
      <c r="O51" s="476">
        <v>1000000</v>
      </c>
      <c r="P51" s="166" t="s">
        <v>31</v>
      </c>
      <c r="Q51" s="30"/>
      <c r="R51" s="70"/>
      <c r="S51" s="170" t="s">
        <v>119</v>
      </c>
      <c r="T51" s="171">
        <v>2000</v>
      </c>
      <c r="U51" s="70" t="s">
        <v>118</v>
      </c>
    </row>
    <row r="52" spans="1:21" x14ac:dyDescent="0.25">
      <c r="A52" s="70"/>
      <c r="B52" s="70"/>
      <c r="C52" s="70"/>
      <c r="D52" s="70"/>
      <c r="E52" s="70"/>
      <c r="F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25">
      <c r="A53" s="136"/>
      <c r="B53" s="67">
        <f>(B50*E50*H50+M50*O50*R50/1000000)/2000</f>
        <v>0.19969232040000004</v>
      </c>
      <c r="C53" s="67"/>
      <c r="D53" s="70" t="s">
        <v>280</v>
      </c>
      <c r="E53" s="136" t="s">
        <v>69</v>
      </c>
      <c r="F53" s="55">
        <f>B53*(2000/8760)</f>
        <v>4.5591853972602743E-2</v>
      </c>
      <c r="G53" s="70" t="s">
        <v>161</v>
      </c>
      <c r="L53" s="70" t="s">
        <v>161</v>
      </c>
      <c r="N53" s="70"/>
      <c r="O53" s="70"/>
      <c r="P53" s="70"/>
      <c r="Q53" s="70"/>
      <c r="R53" s="70"/>
      <c r="S53" s="70"/>
      <c r="T53" s="70"/>
      <c r="U53" s="70"/>
    </row>
    <row r="54" spans="1:21" x14ac:dyDescent="0.25">
      <c r="A54" s="70"/>
      <c r="B54" s="70"/>
      <c r="C54" s="70"/>
      <c r="D54" s="70"/>
      <c r="E54" s="70"/>
      <c r="F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25">
      <c r="A55" s="70"/>
      <c r="B55" s="70"/>
      <c r="C55" s="70"/>
      <c r="D55" s="70"/>
      <c r="E55" s="70"/>
      <c r="F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ht="15.75" x14ac:dyDescent="0.25">
      <c r="A56" s="136" t="s">
        <v>180</v>
      </c>
      <c r="B56" s="164">
        <f>B16</f>
        <v>163508</v>
      </c>
      <c r="C56" s="469"/>
      <c r="D56" s="165" t="s">
        <v>171</v>
      </c>
      <c r="E56" s="534">
        <v>0.13800000000000001</v>
      </c>
      <c r="F56" s="535" t="s">
        <v>172</v>
      </c>
      <c r="G56" s="896" t="s">
        <v>183</v>
      </c>
      <c r="H56" s="536">
        <f>C10</f>
        <v>1.5E-3</v>
      </c>
      <c r="I56" s="169" t="s">
        <v>177</v>
      </c>
      <c r="J56" s="536">
        <v>1</v>
      </c>
      <c r="K56" s="536" t="s">
        <v>72</v>
      </c>
      <c r="L56" s="139" t="s">
        <v>173</v>
      </c>
      <c r="M56" s="537">
        <f>B11</f>
        <v>4.2641325536062387E-4</v>
      </c>
      <c r="N56" s="165" t="s">
        <v>175</v>
      </c>
      <c r="O56" s="469">
        <v>1026</v>
      </c>
      <c r="P56" s="165" t="s">
        <v>176</v>
      </c>
      <c r="Q56" s="30" t="s">
        <v>183</v>
      </c>
      <c r="R56" s="539">
        <f>B10</f>
        <v>2.7847396268448903E-3</v>
      </c>
      <c r="S56" s="169" t="s">
        <v>177</v>
      </c>
      <c r="T56" s="536">
        <v>1</v>
      </c>
      <c r="U56" s="536" t="s">
        <v>72</v>
      </c>
    </row>
    <row r="57" spans="1:21" x14ac:dyDescent="0.25">
      <c r="A57" s="31"/>
      <c r="B57" s="30"/>
      <c r="C57" s="31"/>
      <c r="D57" s="166" t="s">
        <v>279</v>
      </c>
      <c r="E57" s="31"/>
      <c r="F57" s="63" t="s">
        <v>71</v>
      </c>
      <c r="G57" s="896"/>
      <c r="H57" s="70"/>
      <c r="I57" s="170" t="s">
        <v>119</v>
      </c>
      <c r="J57" s="171">
        <v>2000</v>
      </c>
      <c r="K57" s="70" t="s">
        <v>118</v>
      </c>
      <c r="L57" s="31"/>
      <c r="M57" s="31"/>
      <c r="N57" s="166" t="s">
        <v>279</v>
      </c>
      <c r="O57" s="476">
        <v>1000000</v>
      </c>
      <c r="P57" s="166" t="s">
        <v>31</v>
      </c>
      <c r="Q57" s="30"/>
      <c r="R57" s="70"/>
      <c r="S57" s="170" t="s">
        <v>119</v>
      </c>
      <c r="T57" s="171">
        <v>2000</v>
      </c>
      <c r="U57" s="70" t="s">
        <v>118</v>
      </c>
    </row>
    <row r="58" spans="1:21" x14ac:dyDescent="0.25">
      <c r="A58" s="70"/>
      <c r="B58" s="70"/>
      <c r="C58" s="70"/>
      <c r="D58" s="70"/>
      <c r="E58" s="70"/>
      <c r="F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25">
      <c r="A59" s="136"/>
      <c r="B59" s="67">
        <f>(B56*E56*H56+M56*O56*R56/1000000)/2000</f>
        <v>1.6923078000609167E-2</v>
      </c>
      <c r="C59" s="67"/>
      <c r="D59" s="70" t="s">
        <v>280</v>
      </c>
      <c r="E59" s="136" t="s">
        <v>69</v>
      </c>
      <c r="F59" s="55">
        <f>B59*(2000/8760)</f>
        <v>3.8637164384952433E-3</v>
      </c>
      <c r="G59" s="70" t="s">
        <v>161</v>
      </c>
      <c r="L59" s="70" t="s">
        <v>161</v>
      </c>
      <c r="N59" s="70"/>
      <c r="O59" s="70"/>
      <c r="P59" s="70"/>
      <c r="Q59" s="70"/>
      <c r="R59" s="70"/>
      <c r="S59" s="70"/>
      <c r="T59" s="70"/>
      <c r="U59" s="70"/>
    </row>
    <row r="60" spans="1:21" x14ac:dyDescent="0.25">
      <c r="A60" s="70"/>
      <c r="B60" s="70"/>
      <c r="C60" s="70"/>
      <c r="D60" s="70"/>
      <c r="E60" s="70"/>
      <c r="F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25">
      <c r="A61" s="70"/>
      <c r="B61" s="70"/>
      <c r="C61" s="70"/>
      <c r="D61" s="70"/>
      <c r="E61" s="70"/>
      <c r="F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ht="15.75" x14ac:dyDescent="0.25">
      <c r="A62" s="136" t="s">
        <v>181</v>
      </c>
      <c r="B62" s="164">
        <f>B16</f>
        <v>163508</v>
      </c>
      <c r="C62" s="469"/>
      <c r="D62" s="165" t="s">
        <v>171</v>
      </c>
      <c r="E62" s="534">
        <v>0.13800000000000001</v>
      </c>
      <c r="F62" s="535" t="s">
        <v>172</v>
      </c>
      <c r="G62" s="896" t="s">
        <v>183</v>
      </c>
      <c r="H62" s="536">
        <f>C11</f>
        <v>2.2968750000000002E-4</v>
      </c>
      <c r="I62" s="169" t="s">
        <v>177</v>
      </c>
      <c r="J62" s="536">
        <v>1</v>
      </c>
      <c r="K62" s="536" t="s">
        <v>72</v>
      </c>
      <c r="L62" s="139" t="s">
        <v>173</v>
      </c>
      <c r="M62" s="537">
        <f>B17</f>
        <v>0</v>
      </c>
      <c r="N62" s="165" t="s">
        <v>175</v>
      </c>
      <c r="O62" s="469">
        <v>1026</v>
      </c>
      <c r="P62" s="165" t="s">
        <v>176</v>
      </c>
      <c r="Q62" s="30" t="s">
        <v>183</v>
      </c>
      <c r="R62" s="536">
        <f>B11</f>
        <v>4.2641325536062387E-4</v>
      </c>
      <c r="S62" s="169" t="s">
        <v>177</v>
      </c>
      <c r="T62" s="536">
        <v>1</v>
      </c>
      <c r="U62" s="536" t="s">
        <v>72</v>
      </c>
    </row>
    <row r="63" spans="1:21" x14ac:dyDescent="0.25">
      <c r="A63" s="31"/>
      <c r="B63" s="30"/>
      <c r="C63" s="31"/>
      <c r="D63" s="166" t="s">
        <v>279</v>
      </c>
      <c r="E63" s="31"/>
      <c r="F63" s="63" t="s">
        <v>71</v>
      </c>
      <c r="G63" s="896"/>
      <c r="H63" s="70"/>
      <c r="I63" s="170" t="s">
        <v>119</v>
      </c>
      <c r="J63" s="171">
        <v>2000</v>
      </c>
      <c r="K63" s="70" t="s">
        <v>118</v>
      </c>
      <c r="L63" s="31"/>
      <c r="M63" s="31"/>
      <c r="N63" s="166" t="s">
        <v>279</v>
      </c>
      <c r="O63" s="476">
        <v>1000000</v>
      </c>
      <c r="P63" s="166" t="s">
        <v>31</v>
      </c>
      <c r="Q63" s="30"/>
      <c r="R63" s="70"/>
      <c r="S63" s="170" t="s">
        <v>119</v>
      </c>
      <c r="T63" s="171">
        <v>2000</v>
      </c>
      <c r="U63" s="70" t="s">
        <v>118</v>
      </c>
    </row>
    <row r="64" spans="1:21" x14ac:dyDescent="0.25">
      <c r="A64" s="70"/>
      <c r="B64" s="70"/>
      <c r="C64" s="70"/>
      <c r="D64" s="70"/>
      <c r="E64" s="70"/>
      <c r="F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x14ac:dyDescent="0.25">
      <c r="A65" s="136"/>
      <c r="B65" s="67">
        <f>(B62*E62*H62+M62*O62*R62/1000000)/2000</f>
        <v>2.5913463187500008E-3</v>
      </c>
      <c r="C65" s="67"/>
      <c r="D65" s="70" t="s">
        <v>280</v>
      </c>
      <c r="E65" s="136" t="s">
        <v>69</v>
      </c>
      <c r="F65" s="55">
        <f>B65*(2000/8760)</f>
        <v>5.9163157962328786E-4</v>
      </c>
      <c r="G65" s="70" t="s">
        <v>161</v>
      </c>
      <c r="L65" s="70" t="s">
        <v>161</v>
      </c>
      <c r="N65" s="70"/>
      <c r="O65" s="70"/>
      <c r="P65" s="70"/>
      <c r="Q65" s="70"/>
      <c r="R65" s="70"/>
      <c r="S65" s="70"/>
      <c r="T65" s="70"/>
      <c r="U65" s="70"/>
    </row>
    <row r="66" spans="1:21" x14ac:dyDescent="0.25">
      <c r="A66" s="70"/>
      <c r="B66" s="70"/>
      <c r="C66" s="70"/>
      <c r="D66" s="70"/>
      <c r="E66" s="70"/>
      <c r="F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x14ac:dyDescent="0.25">
      <c r="A67" s="70"/>
      <c r="B67" s="70"/>
      <c r="C67" s="70"/>
      <c r="D67" s="70"/>
      <c r="E67" s="70"/>
      <c r="F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x14ac:dyDescent="0.25">
      <c r="A68" s="136" t="s">
        <v>165</v>
      </c>
      <c r="B68" s="164">
        <f>B16</f>
        <v>163508</v>
      </c>
      <c r="C68" s="469"/>
      <c r="D68" s="165" t="s">
        <v>171</v>
      </c>
      <c r="E68" s="534">
        <v>0.13800000000000001</v>
      </c>
      <c r="F68" s="535" t="s">
        <v>172</v>
      </c>
      <c r="G68" s="896" t="s">
        <v>183</v>
      </c>
      <c r="H68" s="540">
        <f>C12</f>
        <v>1.4E-5</v>
      </c>
      <c r="I68" s="169" t="s">
        <v>177</v>
      </c>
      <c r="J68" s="536">
        <v>1</v>
      </c>
      <c r="K68" s="536" t="s">
        <v>72</v>
      </c>
      <c r="L68" s="139" t="s">
        <v>173</v>
      </c>
      <c r="M68" s="537">
        <f>B17</f>
        <v>0</v>
      </c>
      <c r="N68" s="165" t="s">
        <v>175</v>
      </c>
      <c r="O68" s="469">
        <v>1026</v>
      </c>
      <c r="P68" s="165" t="s">
        <v>176</v>
      </c>
      <c r="Q68" s="30" t="s">
        <v>183</v>
      </c>
      <c r="R68" s="536">
        <f>B12</f>
        <v>0</v>
      </c>
      <c r="S68" s="169" t="s">
        <v>177</v>
      </c>
      <c r="T68" s="536">
        <v>1</v>
      </c>
      <c r="U68" s="536" t="s">
        <v>72</v>
      </c>
    </row>
    <row r="69" spans="1:21" x14ac:dyDescent="0.25">
      <c r="A69" s="31"/>
      <c r="B69" s="30"/>
      <c r="C69" s="31"/>
      <c r="D69" s="166" t="s">
        <v>279</v>
      </c>
      <c r="E69" s="31"/>
      <c r="F69" s="63" t="s">
        <v>71</v>
      </c>
      <c r="G69" s="896"/>
      <c r="H69" s="70"/>
      <c r="I69" s="170" t="s">
        <v>119</v>
      </c>
      <c r="J69" s="171">
        <v>2000</v>
      </c>
      <c r="K69" s="70" t="s">
        <v>118</v>
      </c>
      <c r="L69" s="31"/>
      <c r="M69" s="31"/>
      <c r="N69" s="166" t="s">
        <v>279</v>
      </c>
      <c r="O69" s="476">
        <v>1000000</v>
      </c>
      <c r="P69" s="166" t="s">
        <v>31</v>
      </c>
      <c r="Q69" s="30"/>
      <c r="R69" s="70"/>
      <c r="S69" s="170" t="s">
        <v>119</v>
      </c>
      <c r="T69" s="171">
        <v>2000</v>
      </c>
      <c r="U69" s="70" t="s">
        <v>118</v>
      </c>
    </row>
    <row r="70" spans="1:2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21" x14ac:dyDescent="0.25">
      <c r="A71" s="136"/>
      <c r="B71" s="67">
        <f>(B68*E68*H68+M68*O68*R68/1000000)/2000</f>
        <v>1.57948728E-4</v>
      </c>
      <c r="C71" s="67"/>
      <c r="D71" s="70" t="s">
        <v>280</v>
      </c>
      <c r="E71" s="136" t="s">
        <v>69</v>
      </c>
      <c r="F71" s="55">
        <f>B71*(2000/8760)</f>
        <v>3.6061353424657534E-5</v>
      </c>
      <c r="G71" s="70" t="s">
        <v>161</v>
      </c>
      <c r="I71" s="70"/>
      <c r="J71" s="70"/>
      <c r="K71" s="70"/>
      <c r="L71" s="70"/>
      <c r="M71" s="70"/>
      <c r="N71" s="70"/>
      <c r="O71" s="70"/>
      <c r="P71" s="70"/>
    </row>
    <row r="74" spans="1:21" x14ac:dyDescent="0.25">
      <c r="A74" s="502" t="s">
        <v>332</v>
      </c>
      <c r="B74" s="164">
        <f>B16</f>
        <v>163508</v>
      </c>
      <c r="C74" s="469"/>
      <c r="D74" s="165" t="s">
        <v>171</v>
      </c>
      <c r="E74" s="534">
        <v>0.13800000000000001</v>
      </c>
      <c r="F74" s="535" t="s">
        <v>172</v>
      </c>
      <c r="G74" s="896" t="s">
        <v>183</v>
      </c>
      <c r="H74" s="541">
        <f>C13</f>
        <v>163.61000000000001</v>
      </c>
      <c r="I74" s="169" t="s">
        <v>177</v>
      </c>
      <c r="J74" s="536">
        <v>1</v>
      </c>
      <c r="K74" s="536" t="s">
        <v>72</v>
      </c>
      <c r="L74" s="139" t="s">
        <v>173</v>
      </c>
      <c r="M74" s="537">
        <f>B23</f>
        <v>1.9529232012000002</v>
      </c>
      <c r="N74" s="165" t="s">
        <v>175</v>
      </c>
      <c r="O74" s="469">
        <v>1026</v>
      </c>
      <c r="P74" s="165" t="s">
        <v>176</v>
      </c>
      <c r="Q74" s="30" t="s">
        <v>183</v>
      </c>
      <c r="R74" s="541">
        <f>B13</f>
        <v>117.09688808000001</v>
      </c>
      <c r="S74" s="169" t="s">
        <v>177</v>
      </c>
      <c r="T74" s="536">
        <v>1</v>
      </c>
      <c r="U74" s="536" t="s">
        <v>72</v>
      </c>
    </row>
    <row r="75" spans="1:21" x14ac:dyDescent="0.25">
      <c r="A75" s="31"/>
      <c r="B75" s="30"/>
      <c r="C75" s="31"/>
      <c r="D75" s="166" t="s">
        <v>279</v>
      </c>
      <c r="E75" s="31"/>
      <c r="F75" s="63" t="s">
        <v>71</v>
      </c>
      <c r="G75" s="896"/>
      <c r="H75" s="70"/>
      <c r="I75" s="170" t="s">
        <v>119</v>
      </c>
      <c r="J75" s="171">
        <v>2000</v>
      </c>
      <c r="K75" s="70" t="s">
        <v>118</v>
      </c>
      <c r="L75" s="31"/>
      <c r="M75" s="31"/>
      <c r="N75" s="166" t="s">
        <v>279</v>
      </c>
      <c r="O75" s="476">
        <v>1000000</v>
      </c>
      <c r="P75" s="166" t="s">
        <v>31</v>
      </c>
      <c r="Q75" s="30"/>
      <c r="R75" s="70"/>
      <c r="S75" s="170" t="s">
        <v>119</v>
      </c>
      <c r="T75" s="171">
        <v>2000</v>
      </c>
      <c r="U75" s="70" t="s">
        <v>118</v>
      </c>
    </row>
    <row r="76" spans="1:21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</row>
    <row r="77" spans="1:21" x14ac:dyDescent="0.25">
      <c r="A77" s="136"/>
      <c r="B77" s="67">
        <f>(B74*E74*H74+M74*O74*R74/1000000)/2000</f>
        <v>1845.8566450334711</v>
      </c>
      <c r="C77" s="67"/>
      <c r="D77" s="70" t="s">
        <v>280</v>
      </c>
      <c r="E77" s="136" t="s">
        <v>69</v>
      </c>
      <c r="F77" s="55">
        <f>B77*(2000/8760)</f>
        <v>421.42845777019886</v>
      </c>
      <c r="G77" s="70" t="s">
        <v>161</v>
      </c>
      <c r="I77" s="70"/>
      <c r="J77" s="70"/>
      <c r="K77" s="70"/>
      <c r="L77" s="70"/>
      <c r="M77" s="70"/>
      <c r="N77" s="70"/>
      <c r="O77" s="70"/>
      <c r="P77" s="70"/>
    </row>
    <row r="78" spans="1:21" x14ac:dyDescent="0.25">
      <c r="A78" s="70"/>
    </row>
    <row r="79" spans="1:21" x14ac:dyDescent="0.25">
      <c r="A79" s="70"/>
      <c r="B79" s="70"/>
      <c r="C79" s="70"/>
      <c r="D79" s="70"/>
      <c r="E79" s="70"/>
      <c r="F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x14ac:dyDescent="0.25">
      <c r="A80" s="24"/>
      <c r="B80" s="62" t="s">
        <v>166</v>
      </c>
      <c r="C80" s="62"/>
      <c r="D80" s="62"/>
      <c r="E80" s="62"/>
      <c r="F80" s="62"/>
      <c r="G80" s="62"/>
      <c r="H80" s="62"/>
      <c r="I80" s="62"/>
      <c r="J80" s="62"/>
      <c r="K80" s="24"/>
      <c r="L80" s="24"/>
      <c r="M80" s="24"/>
      <c r="N80" s="24"/>
      <c r="O80" s="24"/>
      <c r="P80" s="24"/>
    </row>
    <row r="81" spans="2:10" x14ac:dyDescent="0.25">
      <c r="B81" s="62" t="s">
        <v>167</v>
      </c>
      <c r="C81" s="62"/>
      <c r="D81" s="62"/>
      <c r="E81" s="62"/>
      <c r="F81" s="62"/>
      <c r="G81" s="62"/>
      <c r="H81" s="62"/>
      <c r="I81" s="62"/>
      <c r="J81" s="62"/>
    </row>
    <row r="82" spans="2:10" x14ac:dyDescent="0.25">
      <c r="B82" s="62" t="s">
        <v>168</v>
      </c>
      <c r="C82" s="62"/>
      <c r="D82" s="62"/>
      <c r="E82" s="62"/>
      <c r="F82" s="62"/>
      <c r="G82" s="62"/>
      <c r="H82" s="62"/>
      <c r="I82" s="62"/>
      <c r="J82" s="62"/>
    </row>
    <row r="83" spans="2:10" x14ac:dyDescent="0.25">
      <c r="B83" s="62" t="s">
        <v>287</v>
      </c>
      <c r="C83" s="62"/>
      <c r="D83" s="24"/>
      <c r="E83" s="24"/>
      <c r="F83" s="24"/>
      <c r="G83" s="24"/>
      <c r="H83" s="24"/>
      <c r="I83" s="24"/>
      <c r="J83" s="24"/>
    </row>
  </sheetData>
  <mergeCells count="13">
    <mergeCell ref="G32:G33"/>
    <mergeCell ref="A1:P1"/>
    <mergeCell ref="F6:N6"/>
    <mergeCell ref="G20:G21"/>
    <mergeCell ref="Q20:Q21"/>
    <mergeCell ref="G26:G27"/>
    <mergeCell ref="G74:G75"/>
    <mergeCell ref="G38:G39"/>
    <mergeCell ref="G44:G45"/>
    <mergeCell ref="G50:G51"/>
    <mergeCell ref="G56:G57"/>
    <mergeCell ref="G62:G63"/>
    <mergeCell ref="G68:G69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fitToPage="1"/>
  </sheetPr>
  <dimension ref="A2:D37"/>
  <sheetViews>
    <sheetView workbookViewId="0">
      <selection activeCell="A14" sqref="A14:B14"/>
    </sheetView>
  </sheetViews>
  <sheetFormatPr defaultRowHeight="15" x14ac:dyDescent="0.25"/>
  <cols>
    <col min="1" max="1" width="16.5703125" customWidth="1"/>
    <col min="2" max="2" width="33.5703125" customWidth="1"/>
    <col min="3" max="3" width="22.5703125" customWidth="1"/>
    <col min="4" max="4" width="18.5703125" customWidth="1"/>
  </cols>
  <sheetData>
    <row r="2" spans="1:4" ht="15.75" x14ac:dyDescent="0.25">
      <c r="A2" s="903" t="s">
        <v>94</v>
      </c>
      <c r="B2" s="903"/>
      <c r="C2" s="903"/>
      <c r="D2" s="903"/>
    </row>
    <row r="3" spans="1:4" ht="15.75" x14ac:dyDescent="0.25">
      <c r="A3" s="50"/>
      <c r="B3" s="24"/>
      <c r="C3" s="24"/>
      <c r="D3" s="24"/>
    </row>
    <row r="4" spans="1:4" x14ac:dyDescent="0.25">
      <c r="A4" s="899" t="s">
        <v>95</v>
      </c>
      <c r="B4" s="899"/>
      <c r="C4" s="899"/>
      <c r="D4" s="899"/>
    </row>
    <row r="5" spans="1:4" x14ac:dyDescent="0.25">
      <c r="A5" s="899" t="s">
        <v>144</v>
      </c>
      <c r="B5" s="899"/>
      <c r="C5" s="899"/>
      <c r="D5" s="899"/>
    </row>
    <row r="6" spans="1:4" x14ac:dyDescent="0.25">
      <c r="A6" s="911" t="s">
        <v>366</v>
      </c>
      <c r="B6" s="899"/>
      <c r="C6" s="899"/>
      <c r="D6" s="899"/>
    </row>
    <row r="7" spans="1:4" x14ac:dyDescent="0.25">
      <c r="A7" s="26"/>
      <c r="B7" s="26"/>
      <c r="C7" s="26"/>
      <c r="D7" s="26"/>
    </row>
    <row r="8" spans="1:4" x14ac:dyDescent="0.25">
      <c r="A8" s="898" t="s">
        <v>397</v>
      </c>
      <c r="B8" s="898"/>
      <c r="C8" s="898"/>
      <c r="D8" s="898"/>
    </row>
    <row r="9" spans="1:4" ht="16.5" thickBot="1" x14ac:dyDescent="0.3">
      <c r="A9" s="51"/>
      <c r="B9" s="24"/>
      <c r="C9" s="24"/>
      <c r="D9" s="24"/>
    </row>
    <row r="10" spans="1:4" ht="15" customHeight="1" x14ac:dyDescent="0.25">
      <c r="A10" s="969" t="s">
        <v>247</v>
      </c>
      <c r="B10" s="970"/>
      <c r="C10" s="88" t="s">
        <v>140</v>
      </c>
      <c r="D10" s="89" t="s">
        <v>98</v>
      </c>
    </row>
    <row r="11" spans="1:4" ht="15.75" thickBot="1" x14ac:dyDescent="0.3">
      <c r="A11" s="971"/>
      <c r="B11" s="972"/>
      <c r="C11" s="183" t="s">
        <v>284</v>
      </c>
      <c r="D11" s="90" t="s">
        <v>282</v>
      </c>
    </row>
    <row r="12" spans="1:4" ht="19.5" thickTop="1" x14ac:dyDescent="0.25">
      <c r="A12" s="967" t="s">
        <v>142</v>
      </c>
      <c r="B12" s="968"/>
      <c r="C12" s="92">
        <v>1387.38</v>
      </c>
      <c r="D12" s="91">
        <f>'Cálculos PS'!B22+'Cálculos PS'!J22+'MPs PS'!D8</f>
        <v>15.9708916022</v>
      </c>
    </row>
    <row r="13" spans="1:4" ht="18.75" x14ac:dyDescent="0.25">
      <c r="A13" s="965" t="s">
        <v>134</v>
      </c>
      <c r="B13" s="966"/>
      <c r="C13" s="93">
        <v>17464.39</v>
      </c>
      <c r="D13" s="91">
        <f>'Cálculos PS'!B32+'Cálculos PS'!J32+'MPs PS'!D10</f>
        <v>152.36199982960059</v>
      </c>
    </row>
    <row r="14" spans="1:4" ht="18.75" x14ac:dyDescent="0.25">
      <c r="A14" s="965" t="s">
        <v>137</v>
      </c>
      <c r="B14" s="966"/>
      <c r="C14" s="93">
        <v>12276.89</v>
      </c>
      <c r="D14" s="91">
        <f>'Cálculos PS'!B42+'Cálculos PS'!J42+'MPs PS'!D4</f>
        <v>120.73761528119999</v>
      </c>
    </row>
    <row r="15" spans="1:4" ht="15.75" x14ac:dyDescent="0.25">
      <c r="A15" s="965" t="s">
        <v>244</v>
      </c>
      <c r="B15" s="966"/>
      <c r="C15" s="93">
        <v>130.04</v>
      </c>
      <c r="D15" s="91">
        <f>'Cálculos PS'!B52+'Cálculos PS'!J52+'MPs PS'!D6</f>
        <v>1.68498756076</v>
      </c>
    </row>
    <row r="16" spans="1:4" ht="18.75" x14ac:dyDescent="0.25">
      <c r="A16" s="965" t="s">
        <v>135</v>
      </c>
      <c r="B16" s="966"/>
      <c r="C16" s="93">
        <v>856.94</v>
      </c>
      <c r="D16" s="91">
        <f>'Cálculos PS'!B62+'Cálculos PS'!J62+'MPs PS'!D5</f>
        <v>10.9487948864</v>
      </c>
    </row>
    <row r="17" spans="1:4" ht="15.75" x14ac:dyDescent="0.25">
      <c r="A17" s="965" t="s">
        <v>246</v>
      </c>
      <c r="B17" s="966"/>
      <c r="C17" s="310">
        <v>0.37</v>
      </c>
      <c r="D17" s="542">
        <f>'Cálculos PS'!B72+'Cálculos PS'!J72+'MPs PS'!D12</f>
        <v>3.4202622220000003E-3</v>
      </c>
    </row>
    <row r="18" spans="1:4" ht="19.5" thickBot="1" x14ac:dyDescent="0.3">
      <c r="A18" s="876" t="s">
        <v>313</v>
      </c>
      <c r="B18" s="876"/>
      <c r="C18" s="74"/>
      <c r="D18" s="515">
        <f>'Cálculos PS'!B82+'Cálculos PS'!K82+'MPs PS'!D13</f>
        <v>54700.10666237722</v>
      </c>
    </row>
    <row r="19" spans="1:4" ht="15" customHeight="1" x14ac:dyDescent="0.25">
      <c r="A19" s="969" t="s">
        <v>248</v>
      </c>
      <c r="B19" s="970"/>
      <c r="C19" s="88" t="s">
        <v>140</v>
      </c>
      <c r="D19" s="89" t="s">
        <v>98</v>
      </c>
    </row>
    <row r="20" spans="1:4" ht="15.75" thickBot="1" x14ac:dyDescent="0.3">
      <c r="A20" s="971"/>
      <c r="B20" s="972"/>
      <c r="C20" s="183" t="s">
        <v>284</v>
      </c>
      <c r="D20" s="90" t="s">
        <v>282</v>
      </c>
    </row>
    <row r="21" spans="1:4" ht="16.5" thickTop="1" x14ac:dyDescent="0.25">
      <c r="A21" s="967" t="s">
        <v>239</v>
      </c>
      <c r="B21" s="968"/>
      <c r="C21" s="310">
        <v>14.04</v>
      </c>
      <c r="D21" s="143">
        <v>4.8600000000000003</v>
      </c>
    </row>
    <row r="22" spans="1:4" ht="15.75" x14ac:dyDescent="0.25">
      <c r="A22" s="965" t="s">
        <v>240</v>
      </c>
      <c r="B22" s="966"/>
      <c r="C22" s="310">
        <v>6.94</v>
      </c>
      <c r="D22" s="143">
        <v>0.58099999999999996</v>
      </c>
    </row>
    <row r="23" spans="1:4" ht="15.75" x14ac:dyDescent="0.25">
      <c r="A23" s="965" t="s">
        <v>241</v>
      </c>
      <c r="B23" s="966"/>
      <c r="C23" s="310">
        <v>7.74</v>
      </c>
      <c r="D23" s="143">
        <v>2.04</v>
      </c>
    </row>
    <row r="24" spans="1:4" ht="15.75" x14ac:dyDescent="0.25">
      <c r="A24" s="965" t="s">
        <v>249</v>
      </c>
      <c r="B24" s="966"/>
      <c r="C24" s="310">
        <v>1.03</v>
      </c>
      <c r="D24" s="143">
        <v>0.35599999999999998</v>
      </c>
    </row>
    <row r="25" spans="1:4" ht="15.75" x14ac:dyDescent="0.25">
      <c r="A25" s="965" t="s">
        <v>250</v>
      </c>
      <c r="B25" s="966"/>
      <c r="C25" s="313">
        <v>0.81279999999999997</v>
      </c>
      <c r="D25" s="314">
        <v>2.07E-2</v>
      </c>
    </row>
    <row r="26" spans="1:4" ht="16.5" thickBot="1" x14ac:dyDescent="0.3">
      <c r="A26" s="973" t="s">
        <v>242</v>
      </c>
      <c r="B26" s="974"/>
      <c r="C26" s="311">
        <v>36.78</v>
      </c>
      <c r="D26" s="312">
        <v>15.3</v>
      </c>
    </row>
    <row r="27" spans="1:4" ht="15.75" x14ac:dyDescent="0.25">
      <c r="A27" s="308"/>
      <c r="B27" s="308"/>
      <c r="C27" s="123"/>
      <c r="D27" s="123"/>
    </row>
    <row r="28" spans="1:4" ht="15.75" x14ac:dyDescent="0.25">
      <c r="A28" s="51"/>
      <c r="B28" s="24"/>
      <c r="C28" s="24"/>
      <c r="D28" s="24"/>
    </row>
    <row r="29" spans="1:4" ht="15.75" x14ac:dyDescent="0.25">
      <c r="A29" s="51" t="s">
        <v>103</v>
      </c>
      <c r="B29" s="24"/>
      <c r="C29" s="24"/>
      <c r="D29" s="24"/>
    </row>
    <row r="30" spans="1:4" ht="15.75" x14ac:dyDescent="0.25">
      <c r="A30" s="51" t="s">
        <v>104</v>
      </c>
      <c r="B30" s="24"/>
      <c r="C30" s="24"/>
      <c r="D30" s="24"/>
    </row>
    <row r="31" spans="1:4" ht="15.75" x14ac:dyDescent="0.25">
      <c r="A31" s="51" t="s">
        <v>105</v>
      </c>
      <c r="B31" s="24"/>
      <c r="C31" s="24"/>
      <c r="D31" s="24"/>
    </row>
    <row r="32" spans="1:4" ht="15.75" x14ac:dyDescent="0.25">
      <c r="A32" s="51" t="s">
        <v>106</v>
      </c>
      <c r="B32" s="24"/>
      <c r="C32" s="24"/>
      <c r="D32" s="24"/>
    </row>
    <row r="33" spans="1:4" ht="15.75" x14ac:dyDescent="0.25">
      <c r="A33" s="51"/>
      <c r="B33" s="24"/>
      <c r="C33" s="24"/>
      <c r="D33" s="24"/>
    </row>
    <row r="34" spans="1:4" ht="15.75" x14ac:dyDescent="0.25">
      <c r="A34" s="51" t="s">
        <v>107</v>
      </c>
      <c r="B34" s="24"/>
      <c r="C34" s="24"/>
      <c r="D34" s="24"/>
    </row>
    <row r="35" spans="1:4" ht="15.75" x14ac:dyDescent="0.25">
      <c r="A35" s="51"/>
      <c r="B35" s="24"/>
      <c r="C35" s="24"/>
      <c r="D35" s="24"/>
    </row>
    <row r="36" spans="1:4" ht="15.75" x14ac:dyDescent="0.25">
      <c r="A36" s="51" t="s">
        <v>314</v>
      </c>
      <c r="B36" s="24"/>
      <c r="C36" s="24"/>
      <c r="D36" s="24"/>
    </row>
    <row r="37" spans="1:4" ht="15.75" x14ac:dyDescent="0.25">
      <c r="A37" s="51"/>
      <c r="B37" s="24"/>
      <c r="C37" s="24"/>
      <c r="D37" s="24"/>
    </row>
  </sheetData>
  <mergeCells count="20">
    <mergeCell ref="A24:B24"/>
    <mergeCell ref="A25:B25"/>
    <mergeCell ref="A26:B26"/>
    <mergeCell ref="A18:B18"/>
    <mergeCell ref="A19:B20"/>
    <mergeCell ref="A21:B21"/>
    <mergeCell ref="A22:B22"/>
    <mergeCell ref="A23:B23"/>
    <mergeCell ref="A2:D2"/>
    <mergeCell ref="A10:B11"/>
    <mergeCell ref="A6:D6"/>
    <mergeCell ref="A5:D5"/>
    <mergeCell ref="A4:D4"/>
    <mergeCell ref="A8:D8"/>
    <mergeCell ref="A17:B17"/>
    <mergeCell ref="A12:B12"/>
    <mergeCell ref="A13:B13"/>
    <mergeCell ref="A14:B14"/>
    <mergeCell ref="A15:B15"/>
    <mergeCell ref="A16:B16"/>
  </mergeCells>
  <pageMargins left="0.7" right="0.7" top="0.75" bottom="0.75" header="0.3" footer="0.3"/>
  <pageSetup scale="9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3:AF37"/>
  <sheetViews>
    <sheetView tabSelected="1" workbookViewId="0">
      <selection activeCell="I6" sqref="I6:I17"/>
    </sheetView>
  </sheetViews>
  <sheetFormatPr defaultColWidth="8.85546875" defaultRowHeight="15" x14ac:dyDescent="0.25"/>
  <cols>
    <col min="1" max="1" width="10.7109375" style="326" customWidth="1"/>
    <col min="2" max="2" width="15.140625" style="326" customWidth="1"/>
    <col min="3" max="3" width="14.7109375" style="326" customWidth="1"/>
    <col min="4" max="4" width="14.5703125" style="326" customWidth="1"/>
    <col min="5" max="5" width="15" style="326" customWidth="1"/>
    <col min="6" max="6" width="13.5703125" style="326" bestFit="1" customWidth="1"/>
    <col min="7" max="7" width="13.28515625" style="326" customWidth="1"/>
    <col min="8" max="8" width="13.7109375" style="326" customWidth="1"/>
    <col min="9" max="9" width="15" style="326" customWidth="1"/>
    <col min="10" max="10" width="14.140625" style="326" bestFit="1" customWidth="1"/>
    <col min="11" max="11" width="12.85546875" style="326" customWidth="1"/>
    <col min="12" max="12" width="8.85546875" style="326"/>
    <col min="13" max="14" width="12.85546875" style="326" customWidth="1"/>
    <col min="15" max="15" width="14.7109375" style="326" customWidth="1"/>
    <col min="16" max="19" width="8.85546875" style="326"/>
    <col min="20" max="20" width="12.28515625" style="326" customWidth="1"/>
    <col min="21" max="21" width="19" style="326" customWidth="1"/>
    <col min="22" max="22" width="14.42578125" style="326" customWidth="1"/>
    <col min="23" max="16384" width="8.85546875" style="326"/>
  </cols>
  <sheetData>
    <row r="3" spans="1:32" x14ac:dyDescent="0.25">
      <c r="A3" s="975" t="s">
        <v>408</v>
      </c>
      <c r="B3" s="975"/>
      <c r="C3" s="975"/>
      <c r="E3" s="975" t="s">
        <v>407</v>
      </c>
      <c r="F3" s="975"/>
      <c r="G3" s="975"/>
      <c r="I3" s="975" t="s">
        <v>406</v>
      </c>
      <c r="J3" s="975"/>
      <c r="K3" s="975"/>
      <c r="M3" s="975" t="s">
        <v>405</v>
      </c>
      <c r="N3" s="975"/>
      <c r="O3" s="975"/>
    </row>
    <row r="4" spans="1:32" ht="15.75" thickBot="1" x14ac:dyDescent="0.3">
      <c r="A4" s="975" t="s">
        <v>267</v>
      </c>
      <c r="B4" s="975"/>
      <c r="C4" s="975"/>
      <c r="E4" s="975" t="s">
        <v>267</v>
      </c>
      <c r="F4" s="975"/>
      <c r="G4" s="975"/>
      <c r="I4" s="975" t="s">
        <v>267</v>
      </c>
      <c r="J4" s="975"/>
      <c r="K4" s="975"/>
      <c r="M4" s="975" t="s">
        <v>267</v>
      </c>
      <c r="N4" s="975"/>
      <c r="O4" s="975"/>
      <c r="T4" s="451" t="s">
        <v>254</v>
      </c>
    </row>
    <row r="5" spans="1:32" ht="15.75" thickBot="1" x14ac:dyDescent="0.3">
      <c r="A5" s="454" t="s">
        <v>5</v>
      </c>
      <c r="B5" s="450" t="s">
        <v>37</v>
      </c>
      <c r="C5" s="450" t="s">
        <v>38</v>
      </c>
      <c r="E5" s="454" t="s">
        <v>5</v>
      </c>
      <c r="F5" s="450" t="s">
        <v>39</v>
      </c>
      <c r="G5" s="450" t="s">
        <v>40</v>
      </c>
      <c r="I5" s="450" t="s">
        <v>43</v>
      </c>
      <c r="J5" s="450" t="s">
        <v>41</v>
      </c>
      <c r="K5" s="450" t="s">
        <v>42</v>
      </c>
      <c r="M5" s="450" t="s">
        <v>5</v>
      </c>
      <c r="N5" s="455" t="s">
        <v>44</v>
      </c>
      <c r="O5" s="455" t="s">
        <v>45</v>
      </c>
      <c r="T5" s="452"/>
      <c r="U5" s="331" t="s">
        <v>255</v>
      </c>
      <c r="V5" s="331" t="s">
        <v>256</v>
      </c>
      <c r="W5" s="355" t="s">
        <v>44</v>
      </c>
      <c r="X5" s="355" t="s">
        <v>45</v>
      </c>
      <c r="Y5" s="453" t="s">
        <v>46</v>
      </c>
      <c r="Z5" s="453" t="s">
        <v>47</v>
      </c>
      <c r="AA5" s="453" t="s">
        <v>48</v>
      </c>
      <c r="AB5" s="453" t="s">
        <v>49</v>
      </c>
      <c r="AC5" s="331" t="s">
        <v>37</v>
      </c>
      <c r="AD5" s="331" t="s">
        <v>38</v>
      </c>
      <c r="AE5" s="355" t="s">
        <v>41</v>
      </c>
      <c r="AF5" s="355" t="s">
        <v>42</v>
      </c>
    </row>
    <row r="6" spans="1:32" x14ac:dyDescent="0.25">
      <c r="A6" s="696">
        <v>46023</v>
      </c>
      <c r="B6" s="339"/>
      <c r="C6" s="339"/>
      <c r="E6" s="696">
        <v>46023</v>
      </c>
      <c r="F6" s="673"/>
      <c r="G6" s="673"/>
      <c r="I6" s="696">
        <v>46023</v>
      </c>
      <c r="J6" s="673"/>
      <c r="K6" s="673"/>
      <c r="M6" s="696">
        <v>46023</v>
      </c>
      <c r="N6" s="673"/>
      <c r="O6" s="673"/>
      <c r="T6" s="696">
        <v>46023</v>
      </c>
      <c r="U6" s="374">
        <v>0.01</v>
      </c>
      <c r="V6" s="374">
        <v>0.01</v>
      </c>
      <c r="W6" s="374">
        <v>0.01</v>
      </c>
      <c r="X6" s="374">
        <v>0.01</v>
      </c>
      <c r="Y6" s="456">
        <v>0.01</v>
      </c>
      <c r="Z6" s="456">
        <v>0.01</v>
      </c>
      <c r="AA6" s="456">
        <v>0.01</v>
      </c>
      <c r="AB6" s="456">
        <v>0.01</v>
      </c>
      <c r="AC6" s="339">
        <v>0.01</v>
      </c>
      <c r="AD6" s="339">
        <v>0.01</v>
      </c>
      <c r="AE6" s="339">
        <v>0.01</v>
      </c>
      <c r="AF6" s="339">
        <v>0.01</v>
      </c>
    </row>
    <row r="7" spans="1:32" x14ac:dyDescent="0.25">
      <c r="A7" s="738">
        <v>46054</v>
      </c>
      <c r="B7" s="737">
        <v>0</v>
      </c>
      <c r="C7" s="737">
        <v>0</v>
      </c>
      <c r="E7" s="738">
        <v>46054</v>
      </c>
      <c r="F7" s="739">
        <v>0</v>
      </c>
      <c r="G7" s="739">
        <v>0</v>
      </c>
      <c r="I7" s="738">
        <v>46054</v>
      </c>
      <c r="J7" s="739">
        <v>0</v>
      </c>
      <c r="K7" s="739">
        <v>0</v>
      </c>
      <c r="M7" s="738">
        <v>46054</v>
      </c>
      <c r="N7" s="739">
        <v>0</v>
      </c>
      <c r="O7" s="739">
        <v>0</v>
      </c>
      <c r="T7" s="738">
        <v>46054</v>
      </c>
      <c r="U7" s="374">
        <v>0.01</v>
      </c>
      <c r="V7" s="374">
        <v>0.01</v>
      </c>
      <c r="W7" s="374">
        <v>0.01</v>
      </c>
      <c r="X7" s="374">
        <v>0.01</v>
      </c>
      <c r="Y7" s="456">
        <v>0.01</v>
      </c>
      <c r="Z7" s="456">
        <v>0.01</v>
      </c>
      <c r="AA7" s="456">
        <v>0.01</v>
      </c>
      <c r="AB7" s="456">
        <v>0.01</v>
      </c>
      <c r="AC7" s="339">
        <v>0.01</v>
      </c>
      <c r="AD7" s="339">
        <v>0.01</v>
      </c>
      <c r="AE7" s="339">
        <v>0.01</v>
      </c>
      <c r="AF7" s="339">
        <v>0.01</v>
      </c>
    </row>
    <row r="8" spans="1:32" x14ac:dyDescent="0.25">
      <c r="A8" s="697">
        <v>46082</v>
      </c>
      <c r="B8" s="339"/>
      <c r="C8" s="339"/>
      <c r="E8" s="697">
        <v>46082</v>
      </c>
      <c r="F8" s="673"/>
      <c r="G8" s="673"/>
      <c r="I8" s="697">
        <v>46082</v>
      </c>
      <c r="J8" s="673"/>
      <c r="K8" s="673"/>
      <c r="M8" s="697">
        <v>46082</v>
      </c>
      <c r="N8" s="673"/>
      <c r="O8" s="673"/>
      <c r="T8" s="697">
        <v>46082</v>
      </c>
      <c r="U8" s="374">
        <v>0.01</v>
      </c>
      <c r="V8" s="374">
        <v>0.01</v>
      </c>
      <c r="W8" s="374">
        <v>0.01</v>
      </c>
      <c r="X8" s="374">
        <v>0.01</v>
      </c>
      <c r="Y8" s="456">
        <v>0.01</v>
      </c>
      <c r="Z8" s="456">
        <v>0.01</v>
      </c>
      <c r="AA8" s="456">
        <v>0.01</v>
      </c>
      <c r="AB8" s="456">
        <v>0.01</v>
      </c>
      <c r="AC8" s="339">
        <v>0.01</v>
      </c>
      <c r="AD8" s="339">
        <v>0.01</v>
      </c>
      <c r="AE8" s="339">
        <v>0.01</v>
      </c>
      <c r="AF8" s="339">
        <v>0.01</v>
      </c>
    </row>
    <row r="9" spans="1:32" x14ac:dyDescent="0.25">
      <c r="A9" s="697">
        <v>46113</v>
      </c>
      <c r="B9" s="339"/>
      <c r="C9" s="339"/>
      <c r="E9" s="697">
        <v>46113</v>
      </c>
      <c r="F9" s="673"/>
      <c r="G9" s="673"/>
      <c r="I9" s="697">
        <v>46113</v>
      </c>
      <c r="J9" s="673"/>
      <c r="K9" s="673"/>
      <c r="M9" s="697">
        <v>46113</v>
      </c>
      <c r="N9" s="673"/>
      <c r="O9" s="673"/>
      <c r="T9" s="697">
        <v>46113</v>
      </c>
      <c r="U9" s="374">
        <v>0.01</v>
      </c>
      <c r="V9" s="374">
        <v>0.01</v>
      </c>
      <c r="W9" s="374">
        <v>0.01</v>
      </c>
      <c r="X9" s="374">
        <v>0.01</v>
      </c>
      <c r="Y9" s="456">
        <v>0.01</v>
      </c>
      <c r="Z9" s="456">
        <v>0.01</v>
      </c>
      <c r="AA9" s="456">
        <v>0.01</v>
      </c>
      <c r="AB9" s="456">
        <v>0.01</v>
      </c>
      <c r="AC9" s="339">
        <v>0.01</v>
      </c>
      <c r="AD9" s="339">
        <v>0.01</v>
      </c>
      <c r="AE9" s="339">
        <v>0.01</v>
      </c>
      <c r="AF9" s="339">
        <v>0.01</v>
      </c>
    </row>
    <row r="10" spans="1:32" x14ac:dyDescent="0.25">
      <c r="A10" s="697">
        <v>46143</v>
      </c>
      <c r="B10" s="339"/>
      <c r="C10" s="339"/>
      <c r="E10" s="697">
        <v>46143</v>
      </c>
      <c r="F10" s="673"/>
      <c r="G10" s="673"/>
      <c r="I10" s="697">
        <v>46143</v>
      </c>
      <c r="J10" s="673"/>
      <c r="K10" s="673"/>
      <c r="M10" s="697">
        <v>46143</v>
      </c>
      <c r="N10" s="673"/>
      <c r="O10" s="673"/>
      <c r="T10" s="697">
        <v>46143</v>
      </c>
      <c r="U10" s="374">
        <v>0.01</v>
      </c>
      <c r="V10" s="374">
        <v>0.01</v>
      </c>
      <c r="W10" s="374">
        <v>0.01</v>
      </c>
      <c r="X10" s="374">
        <v>0.01</v>
      </c>
      <c r="Y10" s="456">
        <v>0.01</v>
      </c>
      <c r="Z10" s="456">
        <v>0.01</v>
      </c>
      <c r="AA10" s="456">
        <v>0.01</v>
      </c>
      <c r="AB10" s="456">
        <v>0.01</v>
      </c>
      <c r="AC10" s="339">
        <v>0.01</v>
      </c>
      <c r="AD10" s="339">
        <v>0.01</v>
      </c>
      <c r="AE10" s="339">
        <v>0.01</v>
      </c>
      <c r="AF10" s="339">
        <v>0.01</v>
      </c>
    </row>
    <row r="11" spans="1:32" x14ac:dyDescent="0.25">
      <c r="A11" s="697">
        <v>46174</v>
      </c>
      <c r="B11" s="339"/>
      <c r="C11" s="339"/>
      <c r="E11" s="697">
        <v>46174</v>
      </c>
      <c r="F11" s="673"/>
      <c r="G11" s="673"/>
      <c r="I11" s="697">
        <v>46174</v>
      </c>
      <c r="J11" s="673"/>
      <c r="K11" s="673"/>
      <c r="M11" s="697">
        <v>46174</v>
      </c>
      <c r="N11" s="673"/>
      <c r="O11" s="673"/>
      <c r="T11" s="697">
        <v>46174</v>
      </c>
      <c r="U11" s="374">
        <v>0.01</v>
      </c>
      <c r="V11" s="374">
        <v>0.01</v>
      </c>
      <c r="W11" s="374">
        <v>0.01</v>
      </c>
      <c r="X11" s="374">
        <v>0.01</v>
      </c>
      <c r="Y11" s="456">
        <v>0.01</v>
      </c>
      <c r="Z11" s="456">
        <v>0.01</v>
      </c>
      <c r="AA11" s="456">
        <v>0.01</v>
      </c>
      <c r="AB11" s="456">
        <v>0.01</v>
      </c>
      <c r="AC11" s="339">
        <v>0.01</v>
      </c>
      <c r="AD11" s="339">
        <v>0.01</v>
      </c>
      <c r="AE11" s="339">
        <v>0.01</v>
      </c>
      <c r="AF11" s="339">
        <v>0.01</v>
      </c>
    </row>
    <row r="12" spans="1:32" x14ac:dyDescent="0.25">
      <c r="A12" s="697">
        <v>46204</v>
      </c>
      <c r="B12" s="352"/>
      <c r="C12" s="352"/>
      <c r="D12" s="327"/>
      <c r="E12" s="697">
        <v>46204</v>
      </c>
      <c r="F12" s="674"/>
      <c r="G12" s="674"/>
      <c r="I12" s="697">
        <v>46204</v>
      </c>
      <c r="J12" s="674"/>
      <c r="K12" s="674"/>
      <c r="M12" s="697">
        <v>46204</v>
      </c>
      <c r="N12" s="674"/>
      <c r="O12" s="674"/>
      <c r="T12" s="697">
        <v>46204</v>
      </c>
      <c r="U12" s="352">
        <v>0.01</v>
      </c>
      <c r="V12" s="352">
        <v>0.01</v>
      </c>
      <c r="W12" s="457">
        <v>0.01</v>
      </c>
      <c r="X12" s="352">
        <v>0.01</v>
      </c>
      <c r="Y12" s="352">
        <v>0.01</v>
      </c>
      <c r="Z12" s="352">
        <v>0.01</v>
      </c>
      <c r="AA12" s="352">
        <v>0.01</v>
      </c>
      <c r="AB12" s="352">
        <v>0.01</v>
      </c>
      <c r="AC12" s="352">
        <v>0.01</v>
      </c>
      <c r="AD12" s="352">
        <v>0.01</v>
      </c>
      <c r="AE12" s="352">
        <v>0.01</v>
      </c>
      <c r="AF12" s="352">
        <v>0.01</v>
      </c>
    </row>
    <row r="13" spans="1:32" x14ac:dyDescent="0.25">
      <c r="A13" s="697">
        <v>46235</v>
      </c>
      <c r="B13" s="352"/>
      <c r="C13" s="352"/>
      <c r="D13" s="327"/>
      <c r="E13" s="697">
        <v>46235</v>
      </c>
      <c r="F13" s="674"/>
      <c r="G13" s="674"/>
      <c r="I13" s="697">
        <v>46235</v>
      </c>
      <c r="J13" s="674"/>
      <c r="K13" s="674"/>
      <c r="M13" s="697">
        <v>46235</v>
      </c>
      <c r="N13" s="674"/>
      <c r="O13" s="674"/>
      <c r="T13" s="697">
        <v>46235</v>
      </c>
      <c r="U13" s="352">
        <v>0.01</v>
      </c>
      <c r="V13" s="352">
        <v>0.01</v>
      </c>
      <c r="W13" s="457">
        <v>0.01</v>
      </c>
      <c r="X13" s="352">
        <v>0.01</v>
      </c>
      <c r="Y13" s="352">
        <v>0.01</v>
      </c>
      <c r="Z13" s="352">
        <v>0.01</v>
      </c>
      <c r="AA13" s="352">
        <v>0.01</v>
      </c>
      <c r="AB13" s="352">
        <v>0.01</v>
      </c>
      <c r="AC13" s="352">
        <v>0.01</v>
      </c>
      <c r="AD13" s="352">
        <v>0.01</v>
      </c>
      <c r="AE13" s="352">
        <v>0.01</v>
      </c>
      <c r="AF13" s="352">
        <v>0.01</v>
      </c>
    </row>
    <row r="14" spans="1:32" x14ac:dyDescent="0.25">
      <c r="A14" s="697">
        <v>46266</v>
      </c>
      <c r="B14" s="352"/>
      <c r="C14" s="352"/>
      <c r="D14" s="327"/>
      <c r="E14" s="697">
        <v>46266</v>
      </c>
      <c r="F14" s="674"/>
      <c r="G14" s="674"/>
      <c r="I14" s="697">
        <v>46266</v>
      </c>
      <c r="J14" s="674"/>
      <c r="K14" s="674"/>
      <c r="M14" s="697">
        <v>46266</v>
      </c>
      <c r="N14" s="674"/>
      <c r="O14" s="674"/>
      <c r="T14" s="697">
        <v>46266</v>
      </c>
      <c r="U14" s="352">
        <v>0.01</v>
      </c>
      <c r="V14" s="352">
        <v>0.01</v>
      </c>
      <c r="W14" s="457">
        <v>0.01</v>
      </c>
      <c r="X14" s="352">
        <v>0.01</v>
      </c>
      <c r="Y14" s="352">
        <v>0.01</v>
      </c>
      <c r="Z14" s="352">
        <v>0.01</v>
      </c>
      <c r="AA14" s="352">
        <v>0.01</v>
      </c>
      <c r="AB14" s="352">
        <v>0.01</v>
      </c>
      <c r="AC14" s="352">
        <v>0.01</v>
      </c>
      <c r="AD14" s="352">
        <v>0.01</v>
      </c>
      <c r="AE14" s="352">
        <v>0.01</v>
      </c>
      <c r="AF14" s="352">
        <v>0.01</v>
      </c>
    </row>
    <row r="15" spans="1:32" x14ac:dyDescent="0.25">
      <c r="A15" s="697">
        <v>46296</v>
      </c>
      <c r="B15" s="352"/>
      <c r="C15" s="352"/>
      <c r="D15" s="327"/>
      <c r="E15" s="697">
        <v>46296</v>
      </c>
      <c r="F15" s="674"/>
      <c r="G15" s="674"/>
      <c r="I15" s="697">
        <v>46296</v>
      </c>
      <c r="J15" s="674"/>
      <c r="K15" s="674"/>
      <c r="M15" s="697">
        <v>46296</v>
      </c>
      <c r="N15" s="674"/>
      <c r="O15" s="674"/>
      <c r="T15" s="697">
        <v>46296</v>
      </c>
      <c r="U15" s="352">
        <v>0.01</v>
      </c>
      <c r="V15" s="352">
        <v>0.01</v>
      </c>
      <c r="W15" s="457">
        <v>0.01</v>
      </c>
      <c r="X15" s="352">
        <v>0.01</v>
      </c>
      <c r="Y15" s="352">
        <v>0.01</v>
      </c>
      <c r="Z15" s="352">
        <v>0.01</v>
      </c>
      <c r="AA15" s="352">
        <v>0.01</v>
      </c>
      <c r="AB15" s="352">
        <v>0.01</v>
      </c>
      <c r="AC15" s="352">
        <v>0.01</v>
      </c>
      <c r="AD15" s="352">
        <v>0.01</v>
      </c>
      <c r="AE15" s="352">
        <v>0.01</v>
      </c>
      <c r="AF15" s="352">
        <v>0.01</v>
      </c>
    </row>
    <row r="16" spans="1:32" x14ac:dyDescent="0.25">
      <c r="A16" s="697">
        <v>46327</v>
      </c>
      <c r="B16" s="352"/>
      <c r="C16" s="352"/>
      <c r="E16" s="697">
        <v>46327</v>
      </c>
      <c r="F16" s="674"/>
      <c r="G16" s="674"/>
      <c r="I16" s="697">
        <v>46327</v>
      </c>
      <c r="J16" s="674"/>
      <c r="K16" s="674"/>
      <c r="M16" s="697">
        <v>46327</v>
      </c>
      <c r="N16" s="674"/>
      <c r="O16" s="674"/>
      <c r="T16" s="697">
        <v>46327</v>
      </c>
      <c r="U16" s="352">
        <v>0.01</v>
      </c>
      <c r="V16" s="352">
        <v>0.01</v>
      </c>
      <c r="W16" s="457">
        <v>0.01</v>
      </c>
      <c r="X16" s="352">
        <v>0.01</v>
      </c>
      <c r="Y16" s="352">
        <v>0.01</v>
      </c>
      <c r="Z16" s="352">
        <v>0.01</v>
      </c>
      <c r="AA16" s="352">
        <v>0.01</v>
      </c>
      <c r="AB16" s="352">
        <v>0.01</v>
      </c>
      <c r="AC16" s="352">
        <v>0.01</v>
      </c>
      <c r="AD16" s="352">
        <v>0.01</v>
      </c>
      <c r="AE16" s="352">
        <v>0.01</v>
      </c>
      <c r="AF16" s="352">
        <v>0.01</v>
      </c>
    </row>
    <row r="17" spans="1:32" ht="17.45" customHeight="1" thickBot="1" x14ac:dyDescent="0.3">
      <c r="A17" s="698">
        <v>46357</v>
      </c>
      <c r="B17" s="352"/>
      <c r="C17" s="352"/>
      <c r="E17" s="698">
        <v>46357</v>
      </c>
      <c r="F17" s="674"/>
      <c r="G17" s="674"/>
      <c r="I17" s="698">
        <v>46357</v>
      </c>
      <c r="J17" s="674"/>
      <c r="K17" s="674"/>
      <c r="M17" s="698">
        <v>46357</v>
      </c>
      <c r="N17" s="674"/>
      <c r="O17" s="674"/>
      <c r="T17" s="698">
        <v>46357</v>
      </c>
      <c r="U17" s="352">
        <v>0.01</v>
      </c>
      <c r="V17" s="352">
        <v>0.01</v>
      </c>
      <c r="W17" s="457">
        <v>0.01</v>
      </c>
      <c r="X17" s="352">
        <v>0.01</v>
      </c>
      <c r="Y17" s="352">
        <v>0.01</v>
      </c>
      <c r="Z17" s="352">
        <v>0.01</v>
      </c>
      <c r="AA17" s="352">
        <v>0.01</v>
      </c>
      <c r="AB17" s="352">
        <v>0.01</v>
      </c>
      <c r="AC17" s="352">
        <v>0.01</v>
      </c>
      <c r="AD17" s="352">
        <v>0.01</v>
      </c>
      <c r="AE17" s="352">
        <v>0.01</v>
      </c>
      <c r="AF17" s="352">
        <v>0.01</v>
      </c>
    </row>
    <row r="18" spans="1:32" ht="30.75" thickBot="1" x14ac:dyDescent="0.3">
      <c r="A18" s="459" t="s">
        <v>4</v>
      </c>
      <c r="B18" s="460">
        <f>SUM(B6:B17)</f>
        <v>0</v>
      </c>
      <c r="C18" s="460">
        <f>SUM(C6:C17)</f>
        <v>0</v>
      </c>
      <c r="E18" s="459" t="s">
        <v>4</v>
      </c>
      <c r="F18" s="460">
        <f>SUM(F6:F17)</f>
        <v>0</v>
      </c>
      <c r="G18" s="460">
        <f>SUM(G6:G17)</f>
        <v>0</v>
      </c>
      <c r="I18" s="461" t="s">
        <v>4</v>
      </c>
      <c r="J18" s="462">
        <f>SUM(J6:J17)</f>
        <v>0</v>
      </c>
      <c r="K18" s="462">
        <f>SUM(K6:K17)</f>
        <v>0</v>
      </c>
      <c r="M18" s="461" t="s">
        <v>4</v>
      </c>
      <c r="N18" s="463">
        <f>SUM(N6:N17)</f>
        <v>0</v>
      </c>
      <c r="O18" s="463">
        <f>SUM(O6:O17)</f>
        <v>0</v>
      </c>
      <c r="T18" s="458" t="s">
        <v>257</v>
      </c>
      <c r="U18" s="356">
        <f t="shared" ref="U18:AD18" si="0">AVERAGE(U6:U17)</f>
        <v>9.9999999999999985E-3</v>
      </c>
      <c r="V18" s="356">
        <f t="shared" si="0"/>
        <v>9.9999999999999985E-3</v>
      </c>
      <c r="W18" s="356">
        <f>AVERAGE(W6:W17)</f>
        <v>9.9999999999999985E-3</v>
      </c>
      <c r="X18" s="356">
        <f t="shared" si="0"/>
        <v>9.9999999999999985E-3</v>
      </c>
      <c r="Y18" s="356">
        <f t="shared" si="0"/>
        <v>9.9999999999999985E-3</v>
      </c>
      <c r="Z18" s="356">
        <f t="shared" si="0"/>
        <v>9.9999999999999985E-3</v>
      </c>
      <c r="AA18" s="356">
        <f t="shared" si="0"/>
        <v>9.9999999999999985E-3</v>
      </c>
      <c r="AB18" s="356">
        <f t="shared" si="0"/>
        <v>9.9999999999999985E-3</v>
      </c>
      <c r="AC18" s="356">
        <f t="shared" si="0"/>
        <v>9.9999999999999985E-3</v>
      </c>
      <c r="AD18" s="356">
        <f t="shared" si="0"/>
        <v>9.9999999999999985E-3</v>
      </c>
      <c r="AE18" s="356">
        <f>AVERAGE(AE6:AE17)</f>
        <v>9.9999999999999985E-3</v>
      </c>
      <c r="AF18" s="356">
        <f>AVERAGE(AF6:AF17)</f>
        <v>9.9999999999999985E-3</v>
      </c>
    </row>
    <row r="19" spans="1:32" ht="15.75" thickBot="1" x14ac:dyDescent="0.3">
      <c r="A19" s="391" t="s">
        <v>131</v>
      </c>
      <c r="B19" s="464">
        <f>B18</f>
        <v>0</v>
      </c>
      <c r="C19" s="464">
        <f>C18</f>
        <v>0</v>
      </c>
      <c r="E19" s="391" t="s">
        <v>131</v>
      </c>
      <c r="F19" s="464">
        <f>F18</f>
        <v>0</v>
      </c>
      <c r="G19" s="464">
        <f>G18</f>
        <v>0</v>
      </c>
      <c r="I19" s="391" t="s">
        <v>131</v>
      </c>
      <c r="J19" s="464">
        <f>J18</f>
        <v>0</v>
      </c>
      <c r="K19" s="464">
        <f>K18</f>
        <v>0</v>
      </c>
      <c r="M19" s="391" t="s">
        <v>131</v>
      </c>
      <c r="N19" s="464">
        <f>N18</f>
        <v>0</v>
      </c>
      <c r="O19" s="464">
        <f>O18</f>
        <v>0</v>
      </c>
    </row>
    <row r="20" spans="1:32" ht="15.75" thickBot="1" x14ac:dyDescent="0.3">
      <c r="F20" s="351">
        <f>SUM(F12:F17)*42</f>
        <v>0</v>
      </c>
      <c r="G20" s="351">
        <f>SUM(G12:G17)*42</f>
        <v>0</v>
      </c>
      <c r="H20" s="351"/>
      <c r="I20" s="351"/>
      <c r="J20" s="351">
        <f>SUM(J12:J17)*42</f>
        <v>0</v>
      </c>
      <c r="K20" s="351">
        <f>SUM(K12:K17)*42</f>
        <v>0</v>
      </c>
    </row>
    <row r="21" spans="1:32" ht="15.75" thickBot="1" x14ac:dyDescent="0.3">
      <c r="A21" s="975" t="s">
        <v>409</v>
      </c>
      <c r="B21" s="975"/>
      <c r="C21" s="975"/>
      <c r="D21" s="975"/>
      <c r="E21" s="975"/>
      <c r="G21" s="978" t="s">
        <v>410</v>
      </c>
      <c r="H21" s="979"/>
      <c r="I21" s="979"/>
      <c r="J21" s="979"/>
      <c r="K21" s="979"/>
      <c r="L21" s="980"/>
    </row>
    <row r="22" spans="1:32" x14ac:dyDescent="0.25">
      <c r="A22" s="975" t="s">
        <v>267</v>
      </c>
      <c r="B22" s="975"/>
      <c r="C22" s="975"/>
      <c r="D22" s="975"/>
      <c r="E22" s="975"/>
      <c r="G22" s="982" t="s">
        <v>5</v>
      </c>
      <c r="H22" s="981" t="s">
        <v>267</v>
      </c>
      <c r="I22" s="981"/>
      <c r="J22" s="981"/>
      <c r="K22" s="976" t="s">
        <v>130</v>
      </c>
      <c r="L22" s="977"/>
    </row>
    <row r="23" spans="1:32" ht="15.75" thickBot="1" x14ac:dyDescent="0.3">
      <c r="A23" s="700" t="s">
        <v>5</v>
      </c>
      <c r="B23" s="701" t="s">
        <v>46</v>
      </c>
      <c r="C23" s="701" t="s">
        <v>47</v>
      </c>
      <c r="D23" s="701" t="s">
        <v>48</v>
      </c>
      <c r="E23" s="701" t="s">
        <v>49</v>
      </c>
      <c r="G23" s="983"/>
      <c r="H23" s="680" t="s">
        <v>50</v>
      </c>
      <c r="I23" s="681" t="s">
        <v>51</v>
      </c>
      <c r="J23" s="681" t="s">
        <v>52</v>
      </c>
      <c r="K23" s="681" t="s">
        <v>51</v>
      </c>
      <c r="L23" s="682" t="s">
        <v>52</v>
      </c>
    </row>
    <row r="24" spans="1:32" x14ac:dyDescent="0.25">
      <c r="A24" s="696">
        <v>46023</v>
      </c>
      <c r="B24" s="699"/>
      <c r="C24" s="699"/>
      <c r="D24" s="699"/>
      <c r="E24" s="699"/>
      <c r="G24" s="696">
        <v>46023</v>
      </c>
      <c r="H24" s="676"/>
      <c r="I24" s="675"/>
      <c r="J24" s="675"/>
      <c r="K24" s="683">
        <v>0.01</v>
      </c>
      <c r="L24" s="684">
        <v>0.01</v>
      </c>
    </row>
    <row r="25" spans="1:32" x14ac:dyDescent="0.25">
      <c r="A25" s="738">
        <v>46054</v>
      </c>
      <c r="B25" s="735">
        <v>0</v>
      </c>
      <c r="C25" s="735">
        <v>1064</v>
      </c>
      <c r="D25" s="735">
        <v>290842</v>
      </c>
      <c r="E25" s="735">
        <v>308753</v>
      </c>
      <c r="G25" s="738">
        <v>46054</v>
      </c>
      <c r="H25" s="740">
        <v>0</v>
      </c>
      <c r="I25" s="741">
        <v>244918</v>
      </c>
      <c r="J25" s="741">
        <v>0</v>
      </c>
      <c r="K25" s="742">
        <v>0.01</v>
      </c>
      <c r="L25" s="743">
        <v>0.01</v>
      </c>
    </row>
    <row r="26" spans="1:32" x14ac:dyDescent="0.25">
      <c r="A26" s="697">
        <v>46082</v>
      </c>
      <c r="B26" s="677"/>
      <c r="C26" s="677"/>
      <c r="D26" s="677"/>
      <c r="E26" s="677"/>
      <c r="G26" s="697">
        <v>46082</v>
      </c>
      <c r="H26" s="687"/>
      <c r="I26" s="688"/>
      <c r="J26" s="688"/>
      <c r="K26" s="685">
        <v>0.01</v>
      </c>
      <c r="L26" s="686">
        <v>0.01</v>
      </c>
    </row>
    <row r="27" spans="1:32" x14ac:dyDescent="0.25">
      <c r="A27" s="697">
        <v>46113</v>
      </c>
      <c r="B27" s="677"/>
      <c r="C27" s="677"/>
      <c r="D27" s="677"/>
      <c r="E27" s="677"/>
      <c r="G27" s="697">
        <v>46113</v>
      </c>
      <c r="H27" s="687"/>
      <c r="I27" s="688"/>
      <c r="J27" s="688"/>
      <c r="K27" s="685">
        <v>0.01</v>
      </c>
      <c r="L27" s="686">
        <v>0.01</v>
      </c>
    </row>
    <row r="28" spans="1:32" x14ac:dyDescent="0.25">
      <c r="A28" s="697">
        <v>46143</v>
      </c>
      <c r="B28" s="677"/>
      <c r="C28" s="677"/>
      <c r="D28" s="677"/>
      <c r="E28" s="677"/>
      <c r="G28" s="697">
        <v>46143</v>
      </c>
      <c r="H28" s="687"/>
      <c r="I28" s="688"/>
      <c r="J28" s="688"/>
      <c r="K28" s="685">
        <v>0.01</v>
      </c>
      <c r="L28" s="686">
        <v>0.01</v>
      </c>
    </row>
    <row r="29" spans="1:32" x14ac:dyDescent="0.25">
      <c r="A29" s="697">
        <v>46174</v>
      </c>
      <c r="B29" s="677"/>
      <c r="C29" s="677"/>
      <c r="D29" s="677"/>
      <c r="E29" s="677"/>
      <c r="G29" s="697">
        <v>46174</v>
      </c>
      <c r="H29" s="687"/>
      <c r="I29" s="688"/>
      <c r="J29" s="688"/>
      <c r="K29" s="685">
        <v>0.01</v>
      </c>
      <c r="L29" s="686">
        <v>0.01</v>
      </c>
    </row>
    <row r="30" spans="1:32" x14ac:dyDescent="0.25">
      <c r="A30" s="697">
        <v>46204</v>
      </c>
      <c r="B30" s="678"/>
      <c r="C30" s="678"/>
      <c r="D30" s="678"/>
      <c r="E30" s="678"/>
      <c r="G30" s="697">
        <v>46204</v>
      </c>
      <c r="H30" s="687"/>
      <c r="I30" s="689"/>
      <c r="J30" s="689"/>
      <c r="K30" s="685">
        <v>0.01</v>
      </c>
      <c r="L30" s="686">
        <v>0.01</v>
      </c>
    </row>
    <row r="31" spans="1:32" x14ac:dyDescent="0.25">
      <c r="A31" s="697">
        <v>46235</v>
      </c>
      <c r="B31" s="678"/>
      <c r="C31" s="678"/>
      <c r="D31" s="678"/>
      <c r="E31" s="678"/>
      <c r="G31" s="697">
        <v>46235</v>
      </c>
      <c r="H31" s="687"/>
      <c r="I31" s="689"/>
      <c r="J31" s="689"/>
      <c r="K31" s="685">
        <v>0.01</v>
      </c>
      <c r="L31" s="686">
        <v>0.01</v>
      </c>
    </row>
    <row r="32" spans="1:32" x14ac:dyDescent="0.25">
      <c r="A32" s="697">
        <v>46266</v>
      </c>
      <c r="B32" s="678"/>
      <c r="C32" s="678"/>
      <c r="D32" s="678"/>
      <c r="E32" s="678"/>
      <c r="G32" s="697">
        <v>46266</v>
      </c>
      <c r="H32" s="687"/>
      <c r="I32" s="689"/>
      <c r="J32" s="689"/>
      <c r="K32" s="685">
        <v>0.01</v>
      </c>
      <c r="L32" s="686">
        <v>0.01</v>
      </c>
    </row>
    <row r="33" spans="1:14" x14ac:dyDescent="0.25">
      <c r="A33" s="697">
        <v>46296</v>
      </c>
      <c r="B33" s="678"/>
      <c r="C33" s="678"/>
      <c r="D33" s="678"/>
      <c r="E33" s="678"/>
      <c r="G33" s="697">
        <v>46296</v>
      </c>
      <c r="H33" s="687"/>
      <c r="I33" s="689"/>
      <c r="J33" s="689"/>
      <c r="K33" s="685">
        <v>0.01</v>
      </c>
      <c r="L33" s="686">
        <v>0.01</v>
      </c>
    </row>
    <row r="34" spans="1:14" x14ac:dyDescent="0.25">
      <c r="A34" s="697">
        <v>46327</v>
      </c>
      <c r="B34" s="678"/>
      <c r="C34" s="678"/>
      <c r="D34" s="678"/>
      <c r="E34" s="678"/>
      <c r="G34" s="697">
        <v>46327</v>
      </c>
      <c r="H34" s="687"/>
      <c r="I34" s="689"/>
      <c r="J34" s="689"/>
      <c r="K34" s="685">
        <v>0.01</v>
      </c>
      <c r="L34" s="686">
        <v>0.01</v>
      </c>
    </row>
    <row r="35" spans="1:14" ht="15.75" thickBot="1" x14ac:dyDescent="0.3">
      <c r="A35" s="698">
        <v>46357</v>
      </c>
      <c r="B35" s="678"/>
      <c r="C35" s="678"/>
      <c r="D35" s="678"/>
      <c r="E35" s="678"/>
      <c r="G35" s="698">
        <v>46357</v>
      </c>
      <c r="H35" s="687"/>
      <c r="I35" s="690"/>
      <c r="J35" s="690"/>
      <c r="K35" s="685">
        <v>0.01</v>
      </c>
      <c r="L35" s="686">
        <v>0.01</v>
      </c>
    </row>
    <row r="36" spans="1:14" ht="15.75" thickBot="1" x14ac:dyDescent="0.3">
      <c r="A36" s="454" t="s">
        <v>4</v>
      </c>
      <c r="B36" s="465">
        <f>SUM(B24:B35)</f>
        <v>0</v>
      </c>
      <c r="C36" s="465">
        <f>SUM(C24:C35)</f>
        <v>1064</v>
      </c>
      <c r="D36" s="465">
        <f>SUM(D24:D35)</f>
        <v>290842</v>
      </c>
      <c r="E36" s="465">
        <f>SUM(E24:E35)</f>
        <v>308753</v>
      </c>
      <c r="G36" s="679" t="s">
        <v>4</v>
      </c>
      <c r="H36" s="691">
        <f>SUM(H30:H35)</f>
        <v>0</v>
      </c>
      <c r="I36" s="691">
        <f>SUM(I24:I35)</f>
        <v>244918</v>
      </c>
      <c r="J36" s="691">
        <f>SUM(J24:J35)</f>
        <v>0</v>
      </c>
      <c r="K36" s="692">
        <f>AVERAGE(K24:K35)</f>
        <v>9.9999999999999985E-3</v>
      </c>
      <c r="L36" s="693">
        <f>AVERAGE(L24:L35)</f>
        <v>9.9999999999999985E-3</v>
      </c>
      <c r="N36" s="326" t="s">
        <v>253</v>
      </c>
    </row>
    <row r="37" spans="1:14" ht="15.75" thickBot="1" x14ac:dyDescent="0.3">
      <c r="A37" s="391" t="s">
        <v>131</v>
      </c>
      <c r="B37" s="464">
        <f>B36</f>
        <v>0</v>
      </c>
      <c r="C37" s="464">
        <f>C36</f>
        <v>1064</v>
      </c>
      <c r="D37" s="464">
        <f>D36</f>
        <v>290842</v>
      </c>
      <c r="E37" s="464">
        <f>E36</f>
        <v>308753</v>
      </c>
      <c r="G37" s="331" t="s">
        <v>131</v>
      </c>
      <c r="H37" s="464">
        <f>H36</f>
        <v>0</v>
      </c>
      <c r="I37" s="464">
        <f>I36</f>
        <v>244918</v>
      </c>
      <c r="J37" s="464">
        <f>J36</f>
        <v>0</v>
      </c>
      <c r="K37" s="466"/>
      <c r="L37" s="466"/>
    </row>
  </sheetData>
  <mergeCells count="14">
    <mergeCell ref="M3:O3"/>
    <mergeCell ref="M4:O4"/>
    <mergeCell ref="A22:E22"/>
    <mergeCell ref="A21:E21"/>
    <mergeCell ref="A3:C3"/>
    <mergeCell ref="A4:C4"/>
    <mergeCell ref="E3:G3"/>
    <mergeCell ref="E4:G4"/>
    <mergeCell ref="I3:K3"/>
    <mergeCell ref="I4:K4"/>
    <mergeCell ref="K22:L22"/>
    <mergeCell ref="G21:L21"/>
    <mergeCell ref="H22:J22"/>
    <mergeCell ref="G22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78"/>
  <sheetViews>
    <sheetView workbookViewId="0">
      <selection activeCell="B1" sqref="B1:J1"/>
    </sheetView>
  </sheetViews>
  <sheetFormatPr defaultRowHeight="15" x14ac:dyDescent="0.25"/>
  <cols>
    <col min="2" max="2" width="14.140625" customWidth="1"/>
    <col min="3" max="3" width="13.140625" customWidth="1"/>
    <col min="5" max="5" width="11.7109375" bestFit="1" customWidth="1"/>
  </cols>
  <sheetData>
    <row r="1" spans="1:18" x14ac:dyDescent="0.25">
      <c r="A1" s="202"/>
      <c r="B1" s="893" t="s">
        <v>401</v>
      </c>
      <c r="C1" s="893"/>
      <c r="D1" s="893"/>
      <c r="E1" s="893"/>
      <c r="F1" s="893"/>
      <c r="G1" s="893"/>
      <c r="H1" s="893"/>
      <c r="I1" s="893"/>
      <c r="J1" s="893"/>
    </row>
    <row r="2" spans="1:18" x14ac:dyDescent="0.25">
      <c r="F2" s="301"/>
    </row>
    <row r="3" spans="1:18" x14ac:dyDescent="0.25">
      <c r="B3" t="s">
        <v>286</v>
      </c>
    </row>
    <row r="5" spans="1:18" x14ac:dyDescent="0.25">
      <c r="B5" t="s">
        <v>54</v>
      </c>
      <c r="C5" t="s">
        <v>81</v>
      </c>
    </row>
    <row r="6" spans="1:18" x14ac:dyDescent="0.25">
      <c r="B6" t="s">
        <v>56</v>
      </c>
      <c r="C6" t="s">
        <v>82</v>
      </c>
    </row>
    <row r="7" spans="1:18" x14ac:dyDescent="0.25">
      <c r="B7" t="s">
        <v>57</v>
      </c>
      <c r="C7" t="s">
        <v>235</v>
      </c>
    </row>
    <row r="8" spans="1:18" x14ac:dyDescent="0.25">
      <c r="B8" t="s">
        <v>59</v>
      </c>
      <c r="C8" t="s">
        <v>83</v>
      </c>
    </row>
    <row r="9" spans="1:18" x14ac:dyDescent="0.25">
      <c r="B9" t="s">
        <v>216</v>
      </c>
      <c r="C9" t="s">
        <v>84</v>
      </c>
    </row>
    <row r="10" spans="1:18" x14ac:dyDescent="0.25">
      <c r="B10" s="286" t="s">
        <v>63</v>
      </c>
      <c r="C10" t="s">
        <v>236</v>
      </c>
    </row>
    <row r="11" spans="1:18" x14ac:dyDescent="0.25">
      <c r="B11" s="286" t="s">
        <v>328</v>
      </c>
      <c r="C11" t="s">
        <v>333</v>
      </c>
    </row>
    <row r="12" spans="1:18" x14ac:dyDescent="0.25">
      <c r="R12">
        <f>(73.96+0.003*25+0.0006*298)*2.2046</f>
        <v>163.61174348</v>
      </c>
    </row>
    <row r="13" spans="1:18" x14ac:dyDescent="0.25">
      <c r="B13" t="s">
        <v>85</v>
      </c>
      <c r="C13" s="287">
        <f>'Costa Sur'!B25+'Costa Sur'!C25</f>
        <v>0</v>
      </c>
      <c r="D13" t="s">
        <v>268</v>
      </c>
    </row>
    <row r="14" spans="1:18" x14ac:dyDescent="0.25">
      <c r="B14" s="288" t="s">
        <v>67</v>
      </c>
      <c r="C14" s="300">
        <f>MAX('Costa Sur'!D25:E25)</f>
        <v>8.0000000000000002E-3</v>
      </c>
    </row>
    <row r="17" spans="2:10" x14ac:dyDescent="0.25">
      <c r="B17" t="s">
        <v>68</v>
      </c>
    </row>
    <row r="19" spans="2:10" x14ac:dyDescent="0.25">
      <c r="B19" s="194" t="s">
        <v>69</v>
      </c>
      <c r="C19" s="289">
        <v>1.2E-2</v>
      </c>
      <c r="D19" s="290" t="s">
        <v>70</v>
      </c>
      <c r="E19" s="291">
        <f>C13</f>
        <v>0</v>
      </c>
      <c r="F19" s="290" t="s">
        <v>71</v>
      </c>
      <c r="G19" s="289">
        <v>0.13800000000000001</v>
      </c>
      <c r="H19" s="290" t="s">
        <v>86</v>
      </c>
      <c r="I19" s="889" t="s">
        <v>72</v>
      </c>
      <c r="J19" s="890"/>
    </row>
    <row r="20" spans="2:10" x14ac:dyDescent="0.25">
      <c r="C20" s="891" t="s">
        <v>86</v>
      </c>
      <c r="D20" s="892"/>
      <c r="E20" s="891" t="s">
        <v>73</v>
      </c>
      <c r="F20" s="892"/>
      <c r="G20" s="891" t="s">
        <v>71</v>
      </c>
      <c r="H20" s="892"/>
      <c r="I20" s="292">
        <v>2000</v>
      </c>
      <c r="J20" s="293" t="s">
        <v>70</v>
      </c>
    </row>
    <row r="23" spans="2:10" x14ac:dyDescent="0.25">
      <c r="B23" s="194" t="s">
        <v>69</v>
      </c>
      <c r="C23" s="206">
        <f>C19*E19*G19/I20</f>
        <v>0</v>
      </c>
      <c r="D23" s="200" t="s">
        <v>72</v>
      </c>
      <c r="E23" s="294" t="s">
        <v>69</v>
      </c>
      <c r="F23" s="295">
        <f>C23*2000/8760</f>
        <v>0</v>
      </c>
      <c r="G23" s="290" t="s">
        <v>70</v>
      </c>
    </row>
    <row r="24" spans="2:10" x14ac:dyDescent="0.25">
      <c r="D24" s="203" t="s">
        <v>73</v>
      </c>
      <c r="G24" s="296" t="s">
        <v>128</v>
      </c>
    </row>
    <row r="26" spans="2:10" x14ac:dyDescent="0.25">
      <c r="B26" t="s">
        <v>74</v>
      </c>
    </row>
    <row r="28" spans="2:10" x14ac:dyDescent="0.25">
      <c r="B28" s="194" t="s">
        <v>69</v>
      </c>
      <c r="C28" s="297">
        <f>1.01*C14</f>
        <v>8.0800000000000004E-3</v>
      </c>
      <c r="D28" s="290" t="s">
        <v>70</v>
      </c>
      <c r="E28" s="291">
        <f>E19</f>
        <v>0</v>
      </c>
      <c r="F28" s="290" t="s">
        <v>71</v>
      </c>
      <c r="G28" s="289">
        <v>0.13800000000000001</v>
      </c>
      <c r="H28" s="290" t="s">
        <v>86</v>
      </c>
      <c r="I28" s="889" t="s">
        <v>72</v>
      </c>
      <c r="J28" s="890"/>
    </row>
    <row r="29" spans="2:10" x14ac:dyDescent="0.25">
      <c r="C29" s="891" t="s">
        <v>86</v>
      </c>
      <c r="D29" s="892"/>
      <c r="E29" s="891" t="s">
        <v>73</v>
      </c>
      <c r="F29" s="892"/>
      <c r="G29" s="891" t="s">
        <v>71</v>
      </c>
      <c r="H29" s="892"/>
      <c r="I29" s="292">
        <v>2000</v>
      </c>
      <c r="J29" s="293" t="s">
        <v>70</v>
      </c>
    </row>
    <row r="32" spans="2:10" x14ac:dyDescent="0.25">
      <c r="B32" s="194" t="s">
        <v>69</v>
      </c>
      <c r="C32" s="206">
        <f>C28*E28*G28/I29</f>
        <v>0</v>
      </c>
      <c r="D32" s="200" t="s">
        <v>72</v>
      </c>
      <c r="E32" s="294" t="s">
        <v>69</v>
      </c>
      <c r="F32" s="295">
        <f>C32*2000/8760</f>
        <v>0</v>
      </c>
      <c r="G32" s="290" t="s">
        <v>70</v>
      </c>
    </row>
    <row r="33" spans="2:10" x14ac:dyDescent="0.25">
      <c r="D33" s="203" t="s">
        <v>73</v>
      </c>
      <c r="G33" s="296" t="s">
        <v>128</v>
      </c>
    </row>
    <row r="35" spans="2:10" x14ac:dyDescent="0.25">
      <c r="B35" t="s">
        <v>75</v>
      </c>
    </row>
    <row r="37" spans="2:10" x14ac:dyDescent="0.25">
      <c r="B37" s="194" t="s">
        <v>69</v>
      </c>
      <c r="C37" s="289">
        <v>0.88</v>
      </c>
      <c r="D37" s="290" t="s">
        <v>70</v>
      </c>
      <c r="E37" s="291">
        <f>E19</f>
        <v>0</v>
      </c>
      <c r="F37" s="290" t="s">
        <v>71</v>
      </c>
      <c r="G37" s="289">
        <v>0.13800000000000001</v>
      </c>
      <c r="H37" s="290" t="s">
        <v>86</v>
      </c>
      <c r="I37" s="889" t="s">
        <v>72</v>
      </c>
      <c r="J37" s="890"/>
    </row>
    <row r="38" spans="2:10" x14ac:dyDescent="0.25">
      <c r="C38" s="891" t="s">
        <v>86</v>
      </c>
      <c r="D38" s="892"/>
      <c r="E38" s="891" t="s">
        <v>73</v>
      </c>
      <c r="F38" s="892"/>
      <c r="G38" s="891" t="s">
        <v>71</v>
      </c>
      <c r="H38" s="892"/>
      <c r="I38" s="292">
        <v>2000</v>
      </c>
      <c r="J38" s="293" t="s">
        <v>70</v>
      </c>
    </row>
    <row r="41" spans="2:10" x14ac:dyDescent="0.25">
      <c r="B41" s="194" t="s">
        <v>69</v>
      </c>
      <c r="C41" s="206">
        <f>C37*E37*G37/I38</f>
        <v>0</v>
      </c>
      <c r="D41" s="200" t="s">
        <v>72</v>
      </c>
      <c r="E41" s="294" t="s">
        <v>69</v>
      </c>
      <c r="F41" s="295">
        <f>C41*2000/8760</f>
        <v>0</v>
      </c>
      <c r="G41" s="290" t="s">
        <v>70</v>
      </c>
    </row>
    <row r="42" spans="2:10" x14ac:dyDescent="0.25">
      <c r="D42" s="203" t="s">
        <v>73</v>
      </c>
      <c r="G42" s="296" t="s">
        <v>128</v>
      </c>
    </row>
    <row r="43" spans="2:10" x14ac:dyDescent="0.25">
      <c r="D43" s="203"/>
      <c r="G43" s="296"/>
    </row>
    <row r="44" spans="2:10" x14ac:dyDescent="0.25">
      <c r="B44" t="s">
        <v>76</v>
      </c>
    </row>
    <row r="46" spans="2:10" x14ac:dyDescent="0.25">
      <c r="B46" s="194" t="s">
        <v>69</v>
      </c>
      <c r="C46" s="289">
        <v>4.0999999999999999E-4</v>
      </c>
      <c r="D46" s="290" t="s">
        <v>70</v>
      </c>
      <c r="E46" s="291">
        <f>E19</f>
        <v>0</v>
      </c>
      <c r="F46" s="290" t="s">
        <v>71</v>
      </c>
      <c r="G46" s="289">
        <v>0.13800000000000001</v>
      </c>
      <c r="H46" s="290" t="s">
        <v>86</v>
      </c>
      <c r="I46" s="889" t="s">
        <v>72</v>
      </c>
      <c r="J46" s="890"/>
    </row>
    <row r="47" spans="2:10" x14ac:dyDescent="0.25">
      <c r="C47" s="891" t="s">
        <v>86</v>
      </c>
      <c r="D47" s="892"/>
      <c r="E47" s="891" t="s">
        <v>73</v>
      </c>
      <c r="F47" s="892"/>
      <c r="G47" s="891" t="s">
        <v>71</v>
      </c>
      <c r="H47" s="892"/>
      <c r="I47" s="292">
        <v>2000</v>
      </c>
      <c r="J47" s="293" t="s">
        <v>70</v>
      </c>
    </row>
    <row r="50" spans="2:10" x14ac:dyDescent="0.25">
      <c r="B50" s="194" t="s">
        <v>69</v>
      </c>
      <c r="C50" s="207">
        <f>C46*E46*G46/I47</f>
        <v>0</v>
      </c>
      <c r="D50" s="200" t="s">
        <v>72</v>
      </c>
      <c r="E50" s="294" t="s">
        <v>69</v>
      </c>
      <c r="F50" s="298">
        <f>C50*2000/8760</f>
        <v>0</v>
      </c>
      <c r="G50" s="290" t="s">
        <v>70</v>
      </c>
    </row>
    <row r="51" spans="2:10" x14ac:dyDescent="0.25">
      <c r="D51" s="203" t="s">
        <v>73</v>
      </c>
      <c r="G51" s="296" t="s">
        <v>128</v>
      </c>
    </row>
    <row r="52" spans="2:10" x14ac:dyDescent="0.25">
      <c r="D52" s="203"/>
      <c r="G52" s="296"/>
    </row>
    <row r="53" spans="2:10" x14ac:dyDescent="0.25">
      <c r="B53" t="s">
        <v>77</v>
      </c>
    </row>
    <row r="55" spans="2:10" x14ac:dyDescent="0.25">
      <c r="B55" s="194" t="s">
        <v>69</v>
      </c>
      <c r="C55" s="289">
        <v>3.3E-3</v>
      </c>
      <c r="D55" s="290" t="s">
        <v>70</v>
      </c>
      <c r="E55" s="291">
        <f>E19</f>
        <v>0</v>
      </c>
      <c r="F55" s="290" t="s">
        <v>71</v>
      </c>
      <c r="G55" s="289">
        <v>0.13800000000000001</v>
      </c>
      <c r="H55" s="290" t="s">
        <v>86</v>
      </c>
      <c r="I55" s="889" t="s">
        <v>72</v>
      </c>
      <c r="J55" s="890"/>
    </row>
    <row r="56" spans="2:10" x14ac:dyDescent="0.25">
      <c r="C56" s="891" t="s">
        <v>86</v>
      </c>
      <c r="D56" s="892"/>
      <c r="E56" s="891" t="s">
        <v>73</v>
      </c>
      <c r="F56" s="892"/>
      <c r="G56" s="891" t="s">
        <v>71</v>
      </c>
      <c r="H56" s="892"/>
      <c r="I56" s="292">
        <v>2000</v>
      </c>
      <c r="J56" s="293" t="s">
        <v>70</v>
      </c>
    </row>
    <row r="59" spans="2:10" x14ac:dyDescent="0.25">
      <c r="B59" s="194" t="s">
        <v>69</v>
      </c>
      <c r="C59" s="206">
        <f>C55*E55*G55/I56</f>
        <v>0</v>
      </c>
      <c r="D59" s="200" t="s">
        <v>72</v>
      </c>
      <c r="E59" s="294" t="s">
        <v>69</v>
      </c>
      <c r="F59" s="295">
        <f>C59*2000/8760</f>
        <v>0</v>
      </c>
      <c r="G59" s="290" t="s">
        <v>70</v>
      </c>
    </row>
    <row r="60" spans="2:10" x14ac:dyDescent="0.25">
      <c r="D60" s="203" t="s">
        <v>73</v>
      </c>
      <c r="G60" s="296" t="s">
        <v>128</v>
      </c>
    </row>
    <row r="62" spans="2:10" x14ac:dyDescent="0.25">
      <c r="B62" t="s">
        <v>78</v>
      </c>
    </row>
    <row r="64" spans="2:10" x14ac:dyDescent="0.25">
      <c r="B64" s="194" t="s">
        <v>69</v>
      </c>
      <c r="C64" s="289">
        <v>1.4E-5</v>
      </c>
      <c r="D64" s="290" t="s">
        <v>70</v>
      </c>
      <c r="E64" s="291">
        <f>E19</f>
        <v>0</v>
      </c>
      <c r="F64" s="290" t="s">
        <v>71</v>
      </c>
      <c r="G64" s="289">
        <v>0.13800000000000001</v>
      </c>
      <c r="H64" s="290" t="s">
        <v>86</v>
      </c>
      <c r="I64" s="889" t="s">
        <v>72</v>
      </c>
      <c r="J64" s="890"/>
    </row>
    <row r="65" spans="2:10" x14ac:dyDescent="0.25">
      <c r="C65" s="891" t="s">
        <v>86</v>
      </c>
      <c r="D65" s="892"/>
      <c r="E65" s="891" t="s">
        <v>73</v>
      </c>
      <c r="F65" s="892"/>
      <c r="G65" s="891" t="s">
        <v>71</v>
      </c>
      <c r="H65" s="892"/>
      <c r="I65" s="292">
        <v>2000</v>
      </c>
      <c r="J65" s="293" t="s">
        <v>70</v>
      </c>
    </row>
    <row r="68" spans="2:10" x14ac:dyDescent="0.25">
      <c r="B68" s="194" t="s">
        <v>69</v>
      </c>
      <c r="C68" s="199">
        <f>C64*E64*G64/I65</f>
        <v>0</v>
      </c>
      <c r="D68" s="200" t="s">
        <v>72</v>
      </c>
      <c r="E68" s="294" t="s">
        <v>69</v>
      </c>
      <c r="F68" s="299">
        <f>C68*2000/8760</f>
        <v>0</v>
      </c>
      <c r="G68" s="290" t="s">
        <v>70</v>
      </c>
    </row>
    <row r="69" spans="2:10" x14ac:dyDescent="0.25">
      <c r="D69" s="203" t="s">
        <v>73</v>
      </c>
      <c r="G69" s="296" t="s">
        <v>128</v>
      </c>
    </row>
    <row r="71" spans="2:10" x14ac:dyDescent="0.25">
      <c r="B71" t="s">
        <v>334</v>
      </c>
    </row>
    <row r="73" spans="2:10" x14ac:dyDescent="0.25">
      <c r="B73" s="194" t="s">
        <v>69</v>
      </c>
      <c r="C73" s="510">
        <f>R12</f>
        <v>163.61174348</v>
      </c>
      <c r="D73" s="290" t="s">
        <v>70</v>
      </c>
      <c r="E73" s="291">
        <f>E19</f>
        <v>0</v>
      </c>
      <c r="F73" s="290" t="s">
        <v>71</v>
      </c>
      <c r="G73" s="289">
        <v>0.13800000000000001</v>
      </c>
      <c r="H73" s="290" t="s">
        <v>86</v>
      </c>
      <c r="I73" s="889" t="s">
        <v>72</v>
      </c>
      <c r="J73" s="890"/>
    </row>
    <row r="74" spans="2:10" x14ac:dyDescent="0.25">
      <c r="C74" s="891" t="s">
        <v>86</v>
      </c>
      <c r="D74" s="892"/>
      <c r="E74" s="891" t="s">
        <v>73</v>
      </c>
      <c r="F74" s="892"/>
      <c r="G74" s="891" t="s">
        <v>71</v>
      </c>
      <c r="H74" s="892"/>
      <c r="I74" s="292">
        <v>2000</v>
      </c>
      <c r="J74" s="293" t="s">
        <v>70</v>
      </c>
    </row>
    <row r="77" spans="2:10" x14ac:dyDescent="0.25">
      <c r="B77" s="194" t="s">
        <v>69</v>
      </c>
      <c r="C77" s="199">
        <f>C73*E73*G73/I74</f>
        <v>0</v>
      </c>
      <c r="D77" s="200" t="s">
        <v>72</v>
      </c>
      <c r="E77" s="294" t="s">
        <v>69</v>
      </c>
      <c r="F77" s="299">
        <f>C77*2000/8760</f>
        <v>0</v>
      </c>
      <c r="G77" s="290" t="s">
        <v>70</v>
      </c>
    </row>
    <row r="78" spans="2:10" x14ac:dyDescent="0.25">
      <c r="D78" s="203" t="s">
        <v>73</v>
      </c>
      <c r="G78" s="296" t="s">
        <v>128</v>
      </c>
    </row>
  </sheetData>
  <mergeCells count="29">
    <mergeCell ref="I28:J28"/>
    <mergeCell ref="B1:J1"/>
    <mergeCell ref="I19:J19"/>
    <mergeCell ref="C20:D20"/>
    <mergeCell ref="E20:F20"/>
    <mergeCell ref="G20:H20"/>
    <mergeCell ref="C29:D29"/>
    <mergeCell ref="E29:F29"/>
    <mergeCell ref="G29:H29"/>
    <mergeCell ref="I37:J37"/>
    <mergeCell ref="C38:D38"/>
    <mergeCell ref="E38:F38"/>
    <mergeCell ref="G38:H38"/>
    <mergeCell ref="I46:J46"/>
    <mergeCell ref="C47:D47"/>
    <mergeCell ref="E47:F47"/>
    <mergeCell ref="G47:H47"/>
    <mergeCell ref="I55:J55"/>
    <mergeCell ref="I73:J73"/>
    <mergeCell ref="C74:D74"/>
    <mergeCell ref="E74:F74"/>
    <mergeCell ref="G74:H74"/>
    <mergeCell ref="C56:D56"/>
    <mergeCell ref="E56:F56"/>
    <mergeCell ref="G56:H56"/>
    <mergeCell ref="I64:J64"/>
    <mergeCell ref="C65:D65"/>
    <mergeCell ref="E65:F65"/>
    <mergeCell ref="G65:H65"/>
  </mergeCells>
  <pageMargins left="0.7" right="0.7" top="0.75" bottom="0.75" header="0.3" footer="0.3"/>
  <pageSetup scale="8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FC8-0028-418D-A957-97E2AD51120F}">
  <sheetPr codeName="Sheet23"/>
  <dimension ref="A2:AD86"/>
  <sheetViews>
    <sheetView zoomScale="90" zoomScaleNormal="90" workbookViewId="0">
      <selection activeCell="A2" sqref="A2:K2"/>
    </sheetView>
  </sheetViews>
  <sheetFormatPr defaultRowHeight="15" x14ac:dyDescent="0.25"/>
  <cols>
    <col min="1" max="1" width="17.28515625" customWidth="1"/>
    <col min="2" max="2" width="17.85546875" customWidth="1"/>
    <col min="3" max="3" width="9.42578125" customWidth="1"/>
    <col min="4" max="4" width="10.85546875" customWidth="1"/>
    <col min="5" max="5" width="16.85546875" customWidth="1"/>
    <col min="6" max="6" width="10.140625" customWidth="1"/>
    <col min="7" max="7" width="7.7109375" customWidth="1"/>
    <col min="8" max="8" width="8.7109375" customWidth="1"/>
    <col min="9" max="9" width="8.140625" customWidth="1"/>
    <col min="10" max="10" width="7" customWidth="1"/>
    <col min="11" max="11" width="7.42578125" customWidth="1"/>
    <col min="12" max="12" width="17.5703125" customWidth="1"/>
    <col min="13" max="13" width="15.140625" customWidth="1"/>
    <col min="14" max="14" width="9" customWidth="1"/>
    <col min="16" max="16" width="8.28515625" customWidth="1"/>
    <col min="27" max="27" width="12.42578125" customWidth="1"/>
    <col min="28" max="30" width="13.28515625" bestFit="1" customWidth="1"/>
  </cols>
  <sheetData>
    <row r="2" spans="1:30" x14ac:dyDescent="0.25">
      <c r="A2" s="984" t="s">
        <v>413</v>
      </c>
      <c r="B2" s="984"/>
      <c r="C2" s="984"/>
      <c r="D2" s="984"/>
      <c r="E2" s="984"/>
      <c r="F2" s="984"/>
      <c r="G2" s="984"/>
      <c r="H2" s="984"/>
      <c r="I2" s="984"/>
      <c r="J2" s="984"/>
      <c r="K2" s="984"/>
      <c r="L2" s="984" t="s">
        <v>411</v>
      </c>
      <c r="M2" s="984"/>
      <c r="N2" s="984"/>
      <c r="O2" s="984"/>
      <c r="P2" s="984"/>
      <c r="Q2" s="984"/>
      <c r="R2" s="984"/>
      <c r="S2" s="984"/>
      <c r="T2" s="984"/>
      <c r="U2" s="984"/>
      <c r="V2" s="984"/>
      <c r="AA2" s="828" t="s">
        <v>394</v>
      </c>
    </row>
    <row r="3" spans="1:30" ht="15.75" thickBot="1" x14ac:dyDescent="0.3">
      <c r="AB3" s="210" t="s">
        <v>377</v>
      </c>
      <c r="AC3" s="210" t="s">
        <v>376</v>
      </c>
      <c r="AD3" s="210" t="s">
        <v>375</v>
      </c>
    </row>
    <row r="4" spans="1:30" x14ac:dyDescent="0.25">
      <c r="A4" s="841" t="s">
        <v>393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41" t="s">
        <v>393</v>
      </c>
      <c r="M4" s="827"/>
      <c r="N4" s="827"/>
      <c r="O4" s="827"/>
      <c r="P4" s="827"/>
      <c r="Q4" s="827"/>
      <c r="R4" s="827"/>
      <c r="S4" s="827"/>
      <c r="T4" s="827"/>
      <c r="U4" s="827"/>
      <c r="V4" s="827"/>
      <c r="AA4" s="696">
        <v>46023</v>
      </c>
      <c r="AB4" s="824">
        <v>0</v>
      </c>
      <c r="AC4" s="840"/>
      <c r="AD4" s="839"/>
    </row>
    <row r="5" spans="1:30" ht="15.75" x14ac:dyDescent="0.3">
      <c r="A5" s="780" t="s">
        <v>392</v>
      </c>
      <c r="B5" s="827" t="s">
        <v>391</v>
      </c>
      <c r="C5" s="827"/>
      <c r="D5" s="827"/>
      <c r="E5" s="827"/>
      <c r="F5" s="827"/>
      <c r="G5" s="827"/>
      <c r="H5" s="827"/>
      <c r="I5" s="827"/>
      <c r="J5" s="827"/>
      <c r="K5" s="827"/>
      <c r="L5" s="780" t="s">
        <v>392</v>
      </c>
      <c r="M5" s="827" t="s">
        <v>391</v>
      </c>
      <c r="N5" s="827"/>
      <c r="O5" s="827"/>
      <c r="P5" s="827"/>
      <c r="Q5" s="827"/>
      <c r="R5" s="827"/>
      <c r="S5" s="827"/>
      <c r="T5" s="827"/>
      <c r="U5" s="827"/>
      <c r="V5" s="827"/>
      <c r="AA5" s="738">
        <v>46054</v>
      </c>
      <c r="AB5" s="857">
        <v>0</v>
      </c>
      <c r="AC5" s="860">
        <v>14</v>
      </c>
      <c r="AD5" s="861">
        <v>0</v>
      </c>
    </row>
    <row r="6" spans="1:30" ht="15.75" x14ac:dyDescent="0.3">
      <c r="A6" s="780" t="s">
        <v>390</v>
      </c>
      <c r="B6" s="827" t="s">
        <v>389</v>
      </c>
      <c r="C6" s="827"/>
      <c r="D6" s="827"/>
      <c r="E6" s="827"/>
      <c r="F6" s="827"/>
      <c r="G6" s="827"/>
      <c r="H6" s="827"/>
      <c r="I6" s="827"/>
      <c r="J6" s="827"/>
      <c r="K6" s="827"/>
      <c r="L6" s="780" t="s">
        <v>390</v>
      </c>
      <c r="M6" s="827" t="s">
        <v>389</v>
      </c>
      <c r="N6" s="827"/>
      <c r="O6" s="827"/>
      <c r="P6" s="827"/>
      <c r="Q6" s="827"/>
      <c r="R6" s="827"/>
      <c r="S6" s="827"/>
      <c r="T6" s="827"/>
      <c r="U6" s="827"/>
      <c r="V6" s="827"/>
      <c r="AA6" s="697">
        <v>46082</v>
      </c>
      <c r="AB6" s="821">
        <v>0</v>
      </c>
      <c r="AC6" s="833"/>
      <c r="AD6" s="832"/>
    </row>
    <row r="7" spans="1:30" ht="15.75" x14ac:dyDescent="0.3">
      <c r="A7" s="780" t="s">
        <v>388</v>
      </c>
      <c r="B7" s="788" t="s">
        <v>385</v>
      </c>
      <c r="C7" s="788"/>
      <c r="D7" s="788"/>
      <c r="E7" s="788"/>
      <c r="F7" s="788"/>
      <c r="G7" s="788"/>
      <c r="H7" s="788"/>
      <c r="I7" s="788"/>
      <c r="J7" s="788"/>
      <c r="K7" s="788"/>
      <c r="L7" s="780" t="s">
        <v>388</v>
      </c>
      <c r="M7" s="788" t="s">
        <v>385</v>
      </c>
      <c r="N7" s="788"/>
      <c r="O7" s="788"/>
      <c r="P7" s="788"/>
      <c r="Q7" s="788"/>
      <c r="R7" s="788"/>
      <c r="S7" s="788"/>
      <c r="T7" s="788"/>
      <c r="U7" s="788"/>
      <c r="V7" s="788"/>
      <c r="AA7" s="697">
        <v>46113</v>
      </c>
      <c r="AB7" s="821">
        <v>0</v>
      </c>
      <c r="AC7" s="833"/>
      <c r="AD7" s="832"/>
    </row>
    <row r="8" spans="1:30" x14ac:dyDescent="0.25">
      <c r="A8" s="780" t="s">
        <v>387</v>
      </c>
      <c r="B8" s="827" t="s">
        <v>386</v>
      </c>
      <c r="C8" s="827"/>
      <c r="D8" s="827"/>
      <c r="E8" s="827"/>
      <c r="F8" s="827"/>
      <c r="G8" s="827"/>
      <c r="H8" s="827"/>
      <c r="I8" s="827"/>
      <c r="J8" s="827"/>
      <c r="K8" s="827"/>
      <c r="L8" s="780" t="s">
        <v>387</v>
      </c>
      <c r="M8" s="827" t="s">
        <v>386</v>
      </c>
      <c r="N8" s="827"/>
      <c r="O8" s="827"/>
      <c r="P8" s="827"/>
      <c r="Q8" s="827"/>
      <c r="R8" s="827"/>
      <c r="S8" s="827"/>
      <c r="T8" s="827"/>
      <c r="U8" s="827"/>
      <c r="V8" s="827"/>
      <c r="AA8" s="697">
        <v>46143</v>
      </c>
      <c r="AB8" s="821">
        <v>0</v>
      </c>
      <c r="AC8" s="833"/>
      <c r="AD8" s="832"/>
    </row>
    <row r="9" spans="1:30" x14ac:dyDescent="0.25">
      <c r="A9" s="780" t="s">
        <v>61</v>
      </c>
      <c r="B9" s="788" t="s">
        <v>385</v>
      </c>
      <c r="C9" s="788"/>
      <c r="D9" s="788"/>
      <c r="E9" s="788"/>
      <c r="F9" s="788"/>
      <c r="G9" s="788"/>
      <c r="H9" s="788"/>
      <c r="I9" s="788"/>
      <c r="J9" s="788"/>
      <c r="K9" s="788"/>
      <c r="L9" s="780" t="s">
        <v>61</v>
      </c>
      <c r="M9" s="788" t="s">
        <v>385</v>
      </c>
      <c r="N9" s="788"/>
      <c r="O9" s="788"/>
      <c r="P9" s="788"/>
      <c r="Q9" s="788"/>
      <c r="R9" s="788"/>
      <c r="S9" s="788"/>
      <c r="T9" s="788"/>
      <c r="U9" s="788"/>
      <c r="V9" s="788"/>
      <c r="AA9" s="697">
        <v>46174</v>
      </c>
      <c r="AB9" s="821">
        <v>0</v>
      </c>
      <c r="AC9" s="833"/>
      <c r="AD9" s="832"/>
    </row>
    <row r="10" spans="1:30" x14ac:dyDescent="0.25">
      <c r="A10" s="797" t="s">
        <v>384</v>
      </c>
      <c r="B10" s="827" t="s">
        <v>383</v>
      </c>
      <c r="C10" s="827"/>
      <c r="D10" s="827"/>
      <c r="E10" s="827"/>
      <c r="F10" s="827"/>
      <c r="G10" s="827"/>
      <c r="H10" s="827"/>
      <c r="I10" s="827"/>
      <c r="J10" s="827"/>
      <c r="K10" s="827"/>
      <c r="L10" s="797" t="s">
        <v>384</v>
      </c>
      <c r="M10" s="827" t="s">
        <v>383</v>
      </c>
      <c r="N10" s="827"/>
      <c r="O10" s="827"/>
      <c r="P10" s="827"/>
      <c r="Q10" s="827"/>
      <c r="R10" s="827"/>
      <c r="S10" s="827"/>
      <c r="T10" s="827"/>
      <c r="U10" s="827"/>
      <c r="V10" s="827"/>
      <c r="AA10" s="697">
        <v>46204</v>
      </c>
      <c r="AB10" s="821">
        <v>0</v>
      </c>
      <c r="AC10" s="836"/>
      <c r="AD10" s="835"/>
    </row>
    <row r="11" spans="1:30" x14ac:dyDescent="0.25">
      <c r="A11" s="838"/>
      <c r="B11" s="808"/>
      <c r="C11" s="808"/>
      <c r="D11" s="808"/>
      <c r="E11" s="808"/>
      <c r="F11" s="808"/>
      <c r="G11" s="808"/>
      <c r="H11" s="808"/>
      <c r="I11" s="808"/>
      <c r="J11" s="808"/>
      <c r="K11" s="808"/>
      <c r="L11" s="83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AA11" s="697">
        <v>46235</v>
      </c>
      <c r="AB11" s="821">
        <v>0</v>
      </c>
      <c r="AC11" s="836"/>
      <c r="AD11" s="835"/>
    </row>
    <row r="12" spans="1:30" x14ac:dyDescent="0.25">
      <c r="AA12" s="697">
        <v>46266</v>
      </c>
      <c r="AB12" s="821">
        <v>0</v>
      </c>
      <c r="AC12" s="836"/>
      <c r="AD12" s="835"/>
    </row>
    <row r="13" spans="1:30" x14ac:dyDescent="0.25">
      <c r="A13" s="780" t="s">
        <v>115</v>
      </c>
      <c r="B13" s="837">
        <f>SUM(Turbinas!I25)</f>
        <v>244918</v>
      </c>
      <c r="C13" s="780" t="s">
        <v>66</v>
      </c>
      <c r="D13" s="780"/>
      <c r="E13" s="780"/>
      <c r="F13" s="780"/>
      <c r="G13" s="780"/>
      <c r="H13" s="780"/>
      <c r="I13" s="780"/>
      <c r="J13" s="780"/>
      <c r="K13" s="780"/>
      <c r="L13" s="780" t="s">
        <v>115</v>
      </c>
      <c r="M13" s="837">
        <f>SUM(Turbinas!J25)</f>
        <v>0</v>
      </c>
      <c r="N13" s="780" t="s">
        <v>66</v>
      </c>
      <c r="O13" s="780"/>
      <c r="P13" s="780"/>
      <c r="Q13" s="780"/>
      <c r="R13" s="780"/>
      <c r="S13" s="780"/>
      <c r="T13" s="780"/>
      <c r="U13" s="780"/>
      <c r="V13" s="780"/>
      <c r="AA13" s="697">
        <v>46296</v>
      </c>
      <c r="AB13" s="821">
        <v>0</v>
      </c>
      <c r="AC13" s="836"/>
      <c r="AD13" s="835"/>
    </row>
    <row r="14" spans="1:30" x14ac:dyDescent="0.25">
      <c r="A14" s="780" t="s">
        <v>67</v>
      </c>
      <c r="B14" s="834">
        <f>SUM([1]Turbinas!K36)</f>
        <v>1.2833333333333336E-3</v>
      </c>
      <c r="C14" s="780"/>
      <c r="D14" s="780"/>
      <c r="E14" s="780"/>
      <c r="F14" s="780"/>
      <c r="G14" s="780"/>
      <c r="H14" s="780"/>
      <c r="I14" s="780"/>
      <c r="J14" s="780"/>
      <c r="K14" s="780"/>
      <c r="L14" s="780" t="s">
        <v>67</v>
      </c>
      <c r="M14" s="834">
        <f>SUM([1]Turbinas!L36)</f>
        <v>1.2833333333333336E-3</v>
      </c>
      <c r="N14" s="780"/>
      <c r="O14" s="780"/>
      <c r="P14" s="780"/>
      <c r="Q14" s="780"/>
      <c r="R14" s="780"/>
      <c r="S14" s="780"/>
      <c r="T14" s="780"/>
      <c r="U14" s="780"/>
      <c r="V14" s="780"/>
      <c r="AA14" s="697">
        <v>46327</v>
      </c>
      <c r="AB14" s="821">
        <v>0</v>
      </c>
      <c r="AC14" s="833"/>
      <c r="AD14" s="832"/>
    </row>
    <row r="15" spans="1:30" ht="15.75" thickBot="1" x14ac:dyDescent="0.3">
      <c r="A15" s="780" t="s">
        <v>382</v>
      </c>
      <c r="B15" s="829">
        <f>SUM(AC34)</f>
        <v>20</v>
      </c>
      <c r="C15" s="780" t="s">
        <v>380</v>
      </c>
      <c r="D15" s="780"/>
      <c r="E15" s="780"/>
      <c r="F15" s="780"/>
      <c r="G15" s="780"/>
      <c r="H15" s="780"/>
      <c r="I15" s="780"/>
      <c r="J15" s="780"/>
      <c r="K15" s="780"/>
      <c r="L15" s="780" t="s">
        <v>382</v>
      </c>
      <c r="M15" s="829">
        <f>SUM(AD34)</f>
        <v>0</v>
      </c>
      <c r="N15" s="780" t="s">
        <v>380</v>
      </c>
      <c r="O15" s="780"/>
      <c r="P15" s="780"/>
      <c r="Q15" s="780"/>
      <c r="R15" s="780"/>
      <c r="S15" s="780"/>
      <c r="T15" s="780"/>
      <c r="U15" s="780"/>
      <c r="V15" s="780"/>
      <c r="AA15" s="698">
        <v>46357</v>
      </c>
      <c r="AB15" s="818">
        <v>0</v>
      </c>
      <c r="AC15" s="831"/>
      <c r="AD15" s="830"/>
    </row>
    <row r="16" spans="1:30" ht="15.75" thickBot="1" x14ac:dyDescent="0.3">
      <c r="A16" s="780" t="s">
        <v>381</v>
      </c>
      <c r="B16" s="829">
        <f>SUM(AC16)</f>
        <v>14</v>
      </c>
      <c r="C16" s="780" t="s">
        <v>380</v>
      </c>
      <c r="D16" s="780"/>
      <c r="E16" s="780"/>
      <c r="F16" s="780"/>
      <c r="G16" s="780"/>
      <c r="H16" s="780"/>
      <c r="I16" s="780"/>
      <c r="J16" s="780"/>
      <c r="K16" s="780"/>
      <c r="L16" s="780" t="s">
        <v>381</v>
      </c>
      <c r="M16" s="829">
        <f>SUM(AD16)</f>
        <v>0</v>
      </c>
      <c r="N16" s="780" t="s">
        <v>380</v>
      </c>
      <c r="O16" s="780"/>
      <c r="P16" s="780"/>
      <c r="Q16" s="780"/>
      <c r="R16" s="780"/>
      <c r="S16" s="780"/>
      <c r="T16" s="780"/>
      <c r="U16" s="780"/>
      <c r="V16" s="780"/>
      <c r="AA16" s="815" t="s">
        <v>32</v>
      </c>
      <c r="AB16" s="814">
        <f>SUM(AB10:AB15)</f>
        <v>0</v>
      </c>
      <c r="AC16" s="813">
        <f>SUM(AC4:AC15)</f>
        <v>14</v>
      </c>
      <c r="AD16" s="812">
        <f>SUM(AD4:AD15)</f>
        <v>0</v>
      </c>
    </row>
    <row r="17" spans="1:30" x14ac:dyDescent="0.25">
      <c r="B17" s="780"/>
      <c r="C17" s="780"/>
      <c r="D17" s="780"/>
      <c r="E17" s="780"/>
      <c r="F17" s="780"/>
      <c r="G17" s="780"/>
      <c r="H17" s="780"/>
      <c r="I17" s="780"/>
      <c r="J17" s="780"/>
      <c r="K17" s="780"/>
      <c r="N17" s="780"/>
      <c r="O17" s="780"/>
      <c r="P17" s="780"/>
      <c r="Q17" s="780"/>
      <c r="R17" s="780"/>
      <c r="S17" s="780"/>
      <c r="T17" s="780"/>
      <c r="U17" s="780"/>
      <c r="V17" s="780"/>
    </row>
    <row r="19" spans="1:30" ht="15.75" x14ac:dyDescent="0.25">
      <c r="A19" s="827" t="s">
        <v>213</v>
      </c>
      <c r="B19" s="827"/>
      <c r="C19" s="780"/>
      <c r="D19" s="780"/>
      <c r="E19" s="780"/>
      <c r="F19" s="780"/>
      <c r="G19" s="780"/>
      <c r="H19" s="780"/>
      <c r="I19" s="780"/>
      <c r="J19" s="780"/>
      <c r="K19" s="780"/>
      <c r="L19" s="827" t="s">
        <v>213</v>
      </c>
      <c r="M19" s="827"/>
      <c r="N19" s="780"/>
      <c r="O19" s="780"/>
      <c r="P19" s="780"/>
      <c r="Q19" s="780"/>
      <c r="R19" s="780"/>
      <c r="S19" s="780"/>
      <c r="T19" s="780"/>
      <c r="U19" s="780"/>
      <c r="V19" s="780"/>
    </row>
    <row r="20" spans="1:30" x14ac:dyDescent="0.25">
      <c r="AA20" s="828" t="s">
        <v>379</v>
      </c>
    </row>
    <row r="21" spans="1:30" ht="15.75" thickBot="1" x14ac:dyDescent="0.3">
      <c r="A21" s="784" t="s">
        <v>69</v>
      </c>
      <c r="B21" s="794">
        <v>51</v>
      </c>
      <c r="C21" s="794" t="s">
        <v>70</v>
      </c>
      <c r="D21" s="795">
        <f>B15</f>
        <v>20</v>
      </c>
      <c r="E21" s="794" t="s">
        <v>378</v>
      </c>
      <c r="F21" s="794">
        <v>51</v>
      </c>
      <c r="G21" s="805" t="s">
        <v>70</v>
      </c>
      <c r="H21" s="807">
        <f>B16</f>
        <v>14</v>
      </c>
      <c r="I21" s="792" t="s">
        <v>373</v>
      </c>
      <c r="J21" s="794">
        <v>1</v>
      </c>
      <c r="K21" s="794" t="s">
        <v>72</v>
      </c>
      <c r="L21" s="784" t="s">
        <v>69</v>
      </c>
      <c r="M21" s="794">
        <v>51</v>
      </c>
      <c r="N21" s="794" t="s">
        <v>70</v>
      </c>
      <c r="O21" s="795">
        <f>M15</f>
        <v>0</v>
      </c>
      <c r="P21" s="794" t="s">
        <v>378</v>
      </c>
      <c r="Q21" s="794">
        <v>51</v>
      </c>
      <c r="R21" s="805" t="s">
        <v>70</v>
      </c>
      <c r="S21" s="807">
        <f>M16</f>
        <v>0</v>
      </c>
      <c r="T21" s="792" t="s">
        <v>373</v>
      </c>
      <c r="U21" s="794">
        <v>1</v>
      </c>
      <c r="V21" s="794" t="s">
        <v>72</v>
      </c>
      <c r="AB21" s="210" t="s">
        <v>377</v>
      </c>
      <c r="AC21" s="210" t="s">
        <v>376</v>
      </c>
      <c r="AD21" s="210" t="s">
        <v>375</v>
      </c>
    </row>
    <row r="22" spans="1:30" x14ac:dyDescent="0.25">
      <c r="A22" s="780"/>
      <c r="B22" s="827"/>
      <c r="C22" s="825" t="s">
        <v>128</v>
      </c>
      <c r="D22" s="985"/>
      <c r="E22" s="986"/>
      <c r="F22" s="826"/>
      <c r="G22" s="825" t="s">
        <v>128</v>
      </c>
      <c r="H22" s="787"/>
      <c r="I22" s="790"/>
      <c r="J22" s="780">
        <v>2000</v>
      </c>
      <c r="K22" s="780" t="s">
        <v>70</v>
      </c>
      <c r="L22" s="780"/>
      <c r="M22" s="827"/>
      <c r="N22" s="825" t="s">
        <v>128</v>
      </c>
      <c r="O22" s="985"/>
      <c r="P22" s="986"/>
      <c r="Q22" s="826"/>
      <c r="R22" s="825" t="s">
        <v>128</v>
      </c>
      <c r="S22" s="787"/>
      <c r="T22" s="790"/>
      <c r="U22" s="780">
        <v>2000</v>
      </c>
      <c r="V22" s="780" t="s">
        <v>70</v>
      </c>
      <c r="AA22" s="696">
        <v>46023</v>
      </c>
      <c r="AB22" s="824">
        <v>0</v>
      </c>
      <c r="AC22" s="823"/>
      <c r="AD22" s="822"/>
    </row>
    <row r="23" spans="1:30" x14ac:dyDescent="0.25">
      <c r="AA23" s="738">
        <v>46054</v>
      </c>
      <c r="AB23" s="857">
        <v>0</v>
      </c>
      <c r="AC23" s="858">
        <v>20</v>
      </c>
      <c r="AD23" s="859">
        <v>0</v>
      </c>
    </row>
    <row r="24" spans="1:30" x14ac:dyDescent="0.25">
      <c r="A24" s="784" t="s">
        <v>69</v>
      </c>
      <c r="B24" s="785">
        <f>((B21*D21)+(F21*H21))/J22</f>
        <v>0.86699999999999999</v>
      </c>
      <c r="C24" s="800" t="s">
        <v>72</v>
      </c>
      <c r="D24" s="780"/>
      <c r="E24" s="784" t="s">
        <v>69</v>
      </c>
      <c r="F24" s="783">
        <f>B24*2000/8760</f>
        <v>0.19794520547945205</v>
      </c>
      <c r="G24" s="780" t="s">
        <v>70</v>
      </c>
      <c r="H24" s="780"/>
      <c r="I24" s="780"/>
      <c r="J24" s="780"/>
      <c r="K24" s="780"/>
      <c r="L24" s="784" t="s">
        <v>69</v>
      </c>
      <c r="M24" s="785">
        <f>((M21*O21)+(Q21*S21))/U22</f>
        <v>0</v>
      </c>
      <c r="N24" s="800" t="s">
        <v>72</v>
      </c>
      <c r="O24" s="780"/>
      <c r="P24" s="784" t="s">
        <v>69</v>
      </c>
      <c r="Q24" s="783">
        <f>M24*2000/8760</f>
        <v>0</v>
      </c>
      <c r="R24" s="780" t="s">
        <v>70</v>
      </c>
      <c r="S24" s="780"/>
      <c r="T24" s="780"/>
      <c r="U24" s="780"/>
      <c r="V24" s="780"/>
      <c r="AA24" s="697">
        <v>46082</v>
      </c>
      <c r="AB24" s="821">
        <v>0</v>
      </c>
      <c r="AC24" s="820"/>
      <c r="AD24" s="819"/>
    </row>
    <row r="25" spans="1:30" x14ac:dyDescent="0.25">
      <c r="A25" s="780"/>
      <c r="B25" s="780"/>
      <c r="C25" s="781" t="s">
        <v>73</v>
      </c>
      <c r="D25" s="780"/>
      <c r="E25" s="780"/>
      <c r="F25" s="780"/>
      <c r="G25" s="803" t="s">
        <v>128</v>
      </c>
      <c r="H25" s="780"/>
      <c r="I25" s="780"/>
      <c r="J25" s="780"/>
      <c r="K25" s="780"/>
      <c r="L25" s="780"/>
      <c r="M25" s="780"/>
      <c r="N25" s="781" t="s">
        <v>73</v>
      </c>
      <c r="O25" s="780"/>
      <c r="P25" s="780"/>
      <c r="Q25" s="780"/>
      <c r="R25" s="803" t="s">
        <v>128</v>
      </c>
      <c r="S25" s="780"/>
      <c r="T25" s="780"/>
      <c r="U25" s="780"/>
      <c r="V25" s="780"/>
      <c r="AA25" s="697">
        <v>46113</v>
      </c>
      <c r="AB25" s="821">
        <v>0</v>
      </c>
      <c r="AC25" s="820"/>
      <c r="AD25" s="819"/>
    </row>
    <row r="26" spans="1:30" x14ac:dyDescent="0.25">
      <c r="AA26" s="697">
        <v>46143</v>
      </c>
      <c r="AB26" s="821">
        <v>0</v>
      </c>
      <c r="AC26" s="820"/>
      <c r="AD26" s="819"/>
    </row>
    <row r="27" spans="1:30" ht="15.75" x14ac:dyDescent="0.25">
      <c r="A27" s="987" t="s">
        <v>374</v>
      </c>
      <c r="B27" s="987"/>
      <c r="C27" s="780"/>
      <c r="D27" s="780"/>
      <c r="E27" s="780"/>
      <c r="F27" s="780"/>
      <c r="G27" s="780"/>
      <c r="H27" s="780"/>
      <c r="I27" s="780"/>
      <c r="J27" s="780"/>
      <c r="K27" s="780"/>
      <c r="L27" s="987" t="s">
        <v>374</v>
      </c>
      <c r="M27" s="987"/>
      <c r="N27" s="780"/>
      <c r="O27" s="780"/>
      <c r="P27" s="780"/>
      <c r="Q27" s="780"/>
      <c r="R27" s="780"/>
      <c r="S27" s="780"/>
      <c r="T27" s="780"/>
      <c r="U27" s="780"/>
      <c r="V27" s="780"/>
      <c r="AA27" s="697">
        <v>46174</v>
      </c>
      <c r="AB27" s="821">
        <v>0</v>
      </c>
      <c r="AC27" s="820"/>
      <c r="AD27" s="819"/>
    </row>
    <row r="28" spans="1:30" x14ac:dyDescent="0.25">
      <c r="AA28" s="697">
        <v>46204</v>
      </c>
      <c r="AB28" s="821">
        <v>0</v>
      </c>
      <c r="AC28" s="820"/>
      <c r="AD28" s="819"/>
    </row>
    <row r="29" spans="1:30" x14ac:dyDescent="0.25">
      <c r="A29" s="784" t="s">
        <v>69</v>
      </c>
      <c r="B29" s="794">
        <v>137</v>
      </c>
      <c r="C29" s="794" t="s">
        <v>70</v>
      </c>
      <c r="D29" s="795">
        <f>B15</f>
        <v>20</v>
      </c>
      <c r="E29" s="794" t="s">
        <v>373</v>
      </c>
      <c r="F29" s="794">
        <v>137</v>
      </c>
      <c r="G29" s="794" t="s">
        <v>70</v>
      </c>
      <c r="H29" s="807">
        <f>B16</f>
        <v>14</v>
      </c>
      <c r="I29" s="806" t="s">
        <v>373</v>
      </c>
      <c r="J29" s="794">
        <v>1</v>
      </c>
      <c r="K29" s="805" t="s">
        <v>72</v>
      </c>
      <c r="L29" s="784" t="s">
        <v>69</v>
      </c>
      <c r="M29" s="794">
        <v>137</v>
      </c>
      <c r="N29" s="794" t="s">
        <v>70</v>
      </c>
      <c r="O29" s="795">
        <f>M15</f>
        <v>0</v>
      </c>
      <c r="P29" s="794" t="s">
        <v>373</v>
      </c>
      <c r="Q29" s="794">
        <v>137</v>
      </c>
      <c r="R29" s="794" t="s">
        <v>70</v>
      </c>
      <c r="S29" s="807">
        <f>M16</f>
        <v>0</v>
      </c>
      <c r="T29" s="806" t="s">
        <v>373</v>
      </c>
      <c r="U29" s="794">
        <v>1</v>
      </c>
      <c r="V29" s="805" t="s">
        <v>72</v>
      </c>
      <c r="AA29" s="697">
        <v>46235</v>
      </c>
      <c r="AB29" s="821">
        <v>0</v>
      </c>
      <c r="AC29" s="820"/>
      <c r="AD29" s="819"/>
    </row>
    <row r="30" spans="1:30" x14ac:dyDescent="0.25">
      <c r="A30" s="780"/>
      <c r="B30" s="780"/>
      <c r="C30" s="790" t="s">
        <v>128</v>
      </c>
      <c r="D30" s="985"/>
      <c r="E30" s="986"/>
      <c r="F30" s="803"/>
      <c r="G30" s="790" t="s">
        <v>128</v>
      </c>
      <c r="H30" s="787"/>
      <c r="I30" s="790"/>
      <c r="J30" s="780">
        <v>2000</v>
      </c>
      <c r="K30" s="786" t="s">
        <v>70</v>
      </c>
      <c r="L30" s="780"/>
      <c r="M30" s="780"/>
      <c r="N30" s="790" t="s">
        <v>128</v>
      </c>
      <c r="O30" s="985"/>
      <c r="P30" s="986"/>
      <c r="Q30" s="803"/>
      <c r="R30" s="790" t="s">
        <v>128</v>
      </c>
      <c r="S30" s="787"/>
      <c r="T30" s="790"/>
      <c r="U30" s="780">
        <v>2000</v>
      </c>
      <c r="V30" s="786" t="s">
        <v>70</v>
      </c>
      <c r="AA30" s="697">
        <v>46266</v>
      </c>
      <c r="AB30" s="821">
        <v>0</v>
      </c>
      <c r="AC30" s="820"/>
      <c r="AD30" s="819"/>
    </row>
    <row r="31" spans="1:30" x14ac:dyDescent="0.25">
      <c r="AA31" s="697">
        <v>46296</v>
      </c>
      <c r="AB31" s="821">
        <v>0</v>
      </c>
      <c r="AC31" s="820"/>
      <c r="AD31" s="819"/>
    </row>
    <row r="32" spans="1:30" x14ac:dyDescent="0.25">
      <c r="A32" s="784" t="s">
        <v>69</v>
      </c>
      <c r="B32" s="785">
        <f>((B29*D29)+(F29*H29))/J30</f>
        <v>2.3290000000000002</v>
      </c>
      <c r="C32" s="800" t="s">
        <v>72</v>
      </c>
      <c r="D32" s="780"/>
      <c r="E32" s="784" t="s">
        <v>69</v>
      </c>
      <c r="F32" s="783">
        <f>B32*2000/8760</f>
        <v>0.53173515981735164</v>
      </c>
      <c r="G32" s="780" t="s">
        <v>70</v>
      </c>
      <c r="H32" s="780"/>
      <c r="I32" s="780"/>
      <c r="J32" s="780"/>
      <c r="K32" s="780"/>
      <c r="L32" s="784" t="s">
        <v>69</v>
      </c>
      <c r="M32" s="785">
        <f>((M29*O29)+(Q29*S29))/U30</f>
        <v>0</v>
      </c>
      <c r="N32" s="800" t="s">
        <v>72</v>
      </c>
      <c r="O32" s="780"/>
      <c r="P32" s="784" t="s">
        <v>69</v>
      </c>
      <c r="Q32" s="783">
        <f>M32*2000/8760</f>
        <v>0</v>
      </c>
      <c r="R32" s="780" t="s">
        <v>70</v>
      </c>
      <c r="S32" s="780"/>
      <c r="T32" s="780"/>
      <c r="U32" s="780"/>
      <c r="V32" s="780"/>
      <c r="AA32" s="697">
        <v>46327</v>
      </c>
      <c r="AB32" s="821">
        <v>0</v>
      </c>
      <c r="AC32" s="820"/>
      <c r="AD32" s="819"/>
    </row>
    <row r="33" spans="1:30" ht="15.75" thickBot="1" x14ac:dyDescent="0.3">
      <c r="A33" s="780"/>
      <c r="B33" s="780"/>
      <c r="C33" s="781" t="s">
        <v>73</v>
      </c>
      <c r="D33" s="780"/>
      <c r="E33" s="780"/>
      <c r="F33" s="780"/>
      <c r="G33" s="803" t="s">
        <v>128</v>
      </c>
      <c r="H33" s="780"/>
      <c r="I33" s="780"/>
      <c r="J33" s="780"/>
      <c r="K33" s="780"/>
      <c r="L33" s="780"/>
      <c r="M33" s="780"/>
      <c r="N33" s="781" t="s">
        <v>73</v>
      </c>
      <c r="O33" s="780"/>
      <c r="P33" s="780"/>
      <c r="Q33" s="780"/>
      <c r="R33" s="803" t="s">
        <v>128</v>
      </c>
      <c r="S33" s="780"/>
      <c r="T33" s="780"/>
      <c r="U33" s="780"/>
      <c r="V33" s="780"/>
      <c r="AA33" s="698">
        <v>46357</v>
      </c>
      <c r="AB33" s="818">
        <v>0</v>
      </c>
      <c r="AC33" s="817"/>
      <c r="AD33" s="816"/>
    </row>
    <row r="34" spans="1:30" ht="15.75" thickBot="1" x14ac:dyDescent="0.3">
      <c r="A34" s="780"/>
      <c r="B34" s="780"/>
      <c r="C34" s="781"/>
      <c r="D34" s="780"/>
      <c r="E34" s="780"/>
      <c r="F34" s="780"/>
      <c r="G34" s="780"/>
      <c r="H34" s="780"/>
      <c r="I34" s="780"/>
      <c r="J34" s="780"/>
      <c r="K34" s="780"/>
      <c r="L34" s="780"/>
      <c r="M34" s="780"/>
      <c r="N34" s="781"/>
      <c r="O34" s="780"/>
      <c r="P34" s="780"/>
      <c r="Q34" s="780"/>
      <c r="R34" s="780"/>
      <c r="S34" s="780"/>
      <c r="T34" s="780"/>
      <c r="U34" s="780"/>
      <c r="V34" s="780"/>
      <c r="AA34" s="815" t="s">
        <v>32</v>
      </c>
      <c r="AB34" s="814">
        <f>SUM(AB28:AB33)</f>
        <v>0</v>
      </c>
      <c r="AC34" s="813">
        <f>SUM(AC22:AC33)</f>
        <v>20</v>
      </c>
      <c r="AD34" s="812">
        <f>SUM(AD22:AD33)</f>
        <v>0</v>
      </c>
    </row>
    <row r="35" spans="1:30" x14ac:dyDescent="0.25">
      <c r="A35" s="780"/>
      <c r="B35" s="780"/>
      <c r="C35" s="781"/>
      <c r="D35" s="780"/>
      <c r="E35" s="780"/>
      <c r="F35" s="780"/>
      <c r="G35" s="780"/>
      <c r="H35" s="780"/>
      <c r="I35" s="780"/>
      <c r="J35" s="780"/>
      <c r="K35" s="780"/>
      <c r="L35" s="780"/>
      <c r="M35" s="780"/>
      <c r="N35" s="781"/>
      <c r="O35" s="780"/>
      <c r="P35" s="780"/>
      <c r="Q35" s="780"/>
      <c r="R35" s="780"/>
      <c r="S35" s="780"/>
      <c r="T35" s="780"/>
      <c r="U35" s="780"/>
      <c r="V35" s="780"/>
    </row>
    <row r="36" spans="1:30" x14ac:dyDescent="0.25">
      <c r="A36" s="780"/>
      <c r="B36" s="780"/>
      <c r="C36" s="781"/>
      <c r="D36" s="780"/>
      <c r="E36" s="780"/>
      <c r="F36" s="780"/>
      <c r="G36" s="780"/>
      <c r="H36" s="780"/>
      <c r="I36" s="780"/>
      <c r="J36" s="780"/>
      <c r="K36" s="780"/>
      <c r="L36" s="780"/>
      <c r="M36" s="780"/>
      <c r="N36" s="781"/>
      <c r="O36" s="780"/>
      <c r="P36" s="780"/>
      <c r="Q36" s="780"/>
      <c r="R36" s="780"/>
      <c r="S36" s="780"/>
      <c r="T36" s="780"/>
      <c r="U36" s="780"/>
      <c r="V36" s="780"/>
    </row>
    <row r="37" spans="1:30" x14ac:dyDescent="0.25">
      <c r="A37" s="780"/>
      <c r="B37" s="780"/>
      <c r="C37" s="781"/>
      <c r="D37" s="780"/>
      <c r="E37" s="780"/>
      <c r="F37" s="780"/>
      <c r="G37" s="780"/>
      <c r="H37" s="780"/>
      <c r="I37" s="780"/>
      <c r="J37" s="780"/>
      <c r="K37" s="780"/>
      <c r="L37" s="780"/>
      <c r="M37" s="780"/>
      <c r="N37" s="781"/>
      <c r="O37" s="780"/>
      <c r="P37" s="780"/>
      <c r="Q37" s="780"/>
      <c r="R37" s="780"/>
      <c r="S37" s="780"/>
      <c r="T37" s="780"/>
      <c r="U37" s="780"/>
      <c r="V37" s="780"/>
    </row>
    <row r="38" spans="1:30" x14ac:dyDescent="0.25">
      <c r="A38" s="984" t="s">
        <v>412</v>
      </c>
      <c r="B38" s="984"/>
      <c r="C38" s="984"/>
      <c r="D38" s="984"/>
      <c r="E38" s="984"/>
      <c r="F38" s="984"/>
      <c r="G38" s="984"/>
      <c r="H38" s="984"/>
      <c r="I38" s="984"/>
      <c r="J38" s="984"/>
      <c r="K38" s="984"/>
      <c r="L38" s="984" t="s">
        <v>411</v>
      </c>
      <c r="M38" s="984"/>
      <c r="N38" s="984"/>
      <c r="O38" s="984"/>
      <c r="P38" s="984"/>
      <c r="Q38" s="984"/>
      <c r="R38" s="984"/>
      <c r="S38" s="984"/>
      <c r="T38" s="984"/>
      <c r="U38" s="984"/>
      <c r="V38" s="984"/>
    </row>
    <row r="40" spans="1:30" x14ac:dyDescent="0.25">
      <c r="A40" s="987" t="s">
        <v>76</v>
      </c>
      <c r="B40" s="987"/>
      <c r="C40" s="780"/>
      <c r="D40" s="780"/>
      <c r="E40" s="780"/>
      <c r="F40" s="780"/>
      <c r="G40" s="780"/>
      <c r="H40" s="780"/>
      <c r="I40" s="780"/>
      <c r="J40" s="780"/>
      <c r="K40" s="780"/>
      <c r="L40" s="987" t="s">
        <v>76</v>
      </c>
      <c r="M40" s="987"/>
      <c r="N40" s="780"/>
      <c r="O40" s="780"/>
      <c r="P40" s="780"/>
      <c r="Q40" s="780"/>
      <c r="R40" s="780"/>
      <c r="S40" s="780"/>
      <c r="T40" s="780"/>
      <c r="U40" s="780"/>
      <c r="V40" s="780"/>
    </row>
    <row r="42" spans="1:30" x14ac:dyDescent="0.25">
      <c r="A42" s="784" t="s">
        <v>69</v>
      </c>
      <c r="B42" s="811">
        <v>13</v>
      </c>
      <c r="C42" s="794" t="s">
        <v>70</v>
      </c>
      <c r="D42" s="795">
        <f>B15</f>
        <v>20</v>
      </c>
      <c r="E42" s="794" t="s">
        <v>373</v>
      </c>
      <c r="F42" s="794">
        <v>11</v>
      </c>
      <c r="G42" s="794" t="s">
        <v>70</v>
      </c>
      <c r="H42" s="807">
        <f>B16</f>
        <v>14</v>
      </c>
      <c r="I42" s="806" t="s">
        <v>373</v>
      </c>
      <c r="J42">
        <v>1</v>
      </c>
      <c r="K42" s="810" t="s">
        <v>72</v>
      </c>
      <c r="L42" s="784" t="s">
        <v>69</v>
      </c>
      <c r="M42" s="811">
        <v>13</v>
      </c>
      <c r="N42" s="794" t="s">
        <v>70</v>
      </c>
      <c r="O42" s="795">
        <f>M15</f>
        <v>0</v>
      </c>
      <c r="P42" s="794" t="s">
        <v>373</v>
      </c>
      <c r="Q42" s="794">
        <v>11</v>
      </c>
      <c r="R42" s="794" t="s">
        <v>70</v>
      </c>
      <c r="S42" s="807">
        <f>M16</f>
        <v>0</v>
      </c>
      <c r="T42" s="806" t="s">
        <v>373</v>
      </c>
      <c r="U42">
        <v>1</v>
      </c>
      <c r="V42" s="810" t="s">
        <v>72</v>
      </c>
    </row>
    <row r="43" spans="1:30" x14ac:dyDescent="0.25">
      <c r="A43" s="780"/>
      <c r="B43" s="780"/>
      <c r="C43" s="790" t="s">
        <v>128</v>
      </c>
      <c r="D43" s="985"/>
      <c r="E43" s="986"/>
      <c r="F43" s="803"/>
      <c r="G43" s="790" t="s">
        <v>128</v>
      </c>
      <c r="H43" s="787"/>
      <c r="I43" s="790"/>
      <c r="J43" s="809">
        <v>2000</v>
      </c>
      <c r="K43" s="790" t="s">
        <v>70</v>
      </c>
      <c r="L43" s="780"/>
      <c r="M43" s="780"/>
      <c r="N43" s="790" t="s">
        <v>128</v>
      </c>
      <c r="O43" s="985"/>
      <c r="P43" s="986"/>
      <c r="Q43" s="803"/>
      <c r="R43" s="790" t="s">
        <v>128</v>
      </c>
      <c r="S43" s="787"/>
      <c r="T43" s="790"/>
      <c r="U43" s="809">
        <v>2000</v>
      </c>
      <c r="V43" s="790" t="s">
        <v>70</v>
      </c>
    </row>
    <row r="45" spans="1:30" x14ac:dyDescent="0.25">
      <c r="A45" s="784" t="s">
        <v>69</v>
      </c>
      <c r="B45" s="785">
        <f>((B42*D42)+(F42*H42))/J43</f>
        <v>0.20699999999999999</v>
      </c>
      <c r="C45" s="800" t="s">
        <v>72</v>
      </c>
      <c r="D45" s="780"/>
      <c r="E45" s="784" t="s">
        <v>69</v>
      </c>
      <c r="F45" s="801">
        <f>B45*2000/8760</f>
        <v>4.726027397260274E-2</v>
      </c>
      <c r="G45" s="780" t="s">
        <v>70</v>
      </c>
      <c r="H45" s="780"/>
      <c r="I45" s="780"/>
      <c r="J45" s="780"/>
      <c r="K45" s="780"/>
      <c r="L45" s="784" t="s">
        <v>69</v>
      </c>
      <c r="M45" s="785">
        <f>((M42*O42)+(Q42*S42))/U43</f>
        <v>0</v>
      </c>
      <c r="N45" s="800" t="s">
        <v>72</v>
      </c>
      <c r="O45" s="780"/>
      <c r="P45" s="784" t="s">
        <v>69</v>
      </c>
      <c r="Q45" s="801">
        <f>M45*2000/8760</f>
        <v>0</v>
      </c>
      <c r="R45" s="780" t="s">
        <v>70</v>
      </c>
      <c r="S45" s="780"/>
      <c r="T45" s="780"/>
      <c r="U45" s="780"/>
      <c r="V45" s="780"/>
    </row>
    <row r="46" spans="1:30" x14ac:dyDescent="0.25">
      <c r="A46" s="780"/>
      <c r="B46" s="780"/>
      <c r="C46" s="781" t="s">
        <v>73</v>
      </c>
      <c r="D46" s="780"/>
      <c r="E46" s="780"/>
      <c r="F46" s="780"/>
      <c r="G46" s="803" t="s">
        <v>128</v>
      </c>
      <c r="H46" s="780"/>
      <c r="I46" s="780"/>
      <c r="J46" s="780"/>
      <c r="K46" s="780"/>
      <c r="L46" s="780"/>
      <c r="M46" s="780"/>
      <c r="N46" s="781" t="s">
        <v>73</v>
      </c>
      <c r="O46" s="780"/>
      <c r="P46" s="780"/>
      <c r="Q46" s="780"/>
      <c r="R46" s="803" t="s">
        <v>128</v>
      </c>
      <c r="S46" s="780"/>
      <c r="T46" s="780"/>
      <c r="U46" s="780"/>
      <c r="V46" s="780"/>
    </row>
    <row r="48" spans="1:30" x14ac:dyDescent="0.25">
      <c r="A48" s="987" t="s">
        <v>78</v>
      </c>
      <c r="B48" s="987"/>
      <c r="C48" s="780"/>
      <c r="D48" s="780"/>
      <c r="E48" s="780"/>
      <c r="F48" s="780"/>
      <c r="G48" s="780"/>
      <c r="H48" s="780"/>
      <c r="I48" s="780"/>
      <c r="J48" s="780"/>
      <c r="K48" s="780"/>
      <c r="L48" s="987" t="s">
        <v>78</v>
      </c>
      <c r="M48" s="987"/>
      <c r="N48" s="780"/>
      <c r="O48" s="780"/>
      <c r="P48" s="780"/>
      <c r="Q48" s="780"/>
      <c r="R48" s="780"/>
      <c r="S48" s="780"/>
      <c r="T48" s="780"/>
      <c r="U48" s="780"/>
      <c r="V48" s="780"/>
    </row>
    <row r="50" spans="1:22" x14ac:dyDescent="0.25">
      <c r="A50" s="784" t="s">
        <v>69</v>
      </c>
      <c r="B50" s="794">
        <v>2.3E-2</v>
      </c>
      <c r="C50" s="794" t="s">
        <v>70</v>
      </c>
      <c r="D50" s="795">
        <f>B15</f>
        <v>20</v>
      </c>
      <c r="E50" s="794" t="s">
        <v>373</v>
      </c>
      <c r="F50" s="794">
        <v>1.6E-2</v>
      </c>
      <c r="G50" s="794" t="s">
        <v>70</v>
      </c>
      <c r="H50" s="807">
        <f>B16</f>
        <v>14</v>
      </c>
      <c r="I50" s="806" t="s">
        <v>373</v>
      </c>
      <c r="J50" s="794">
        <v>1</v>
      </c>
      <c r="K50" s="805" t="s">
        <v>72</v>
      </c>
      <c r="L50" s="784" t="s">
        <v>69</v>
      </c>
      <c r="M50" s="794">
        <v>2.3E-2</v>
      </c>
      <c r="N50" s="794" t="s">
        <v>70</v>
      </c>
      <c r="O50" s="795">
        <f>M15</f>
        <v>0</v>
      </c>
      <c r="P50" s="794" t="s">
        <v>373</v>
      </c>
      <c r="Q50" s="794">
        <v>1.6E-2</v>
      </c>
      <c r="R50" s="794" t="s">
        <v>70</v>
      </c>
      <c r="S50" s="807">
        <f>M16</f>
        <v>0</v>
      </c>
      <c r="T50" s="806" t="s">
        <v>373</v>
      </c>
      <c r="U50" s="794">
        <v>1</v>
      </c>
      <c r="V50" s="805" t="s">
        <v>72</v>
      </c>
    </row>
    <row r="51" spans="1:22" x14ac:dyDescent="0.25">
      <c r="A51" s="780"/>
      <c r="B51" s="780"/>
      <c r="C51" s="790" t="s">
        <v>128</v>
      </c>
      <c r="D51" s="985"/>
      <c r="E51" s="986"/>
      <c r="F51" s="803"/>
      <c r="G51" s="790" t="s">
        <v>128</v>
      </c>
      <c r="H51" s="787"/>
      <c r="I51" s="790"/>
      <c r="J51" s="780">
        <v>2000</v>
      </c>
      <c r="K51" s="786" t="s">
        <v>70</v>
      </c>
      <c r="L51" s="780"/>
      <c r="M51" s="780"/>
      <c r="N51" s="790" t="s">
        <v>128</v>
      </c>
      <c r="O51" s="985"/>
      <c r="P51" s="986"/>
      <c r="Q51" s="803"/>
      <c r="R51" s="790" t="s">
        <v>128</v>
      </c>
      <c r="S51" s="787"/>
      <c r="T51" s="790"/>
      <c r="U51" s="780">
        <v>2000</v>
      </c>
      <c r="V51" s="786" t="s">
        <v>70</v>
      </c>
    </row>
    <row r="53" spans="1:22" x14ac:dyDescent="0.25">
      <c r="A53" s="784" t="s">
        <v>69</v>
      </c>
      <c r="B53" s="785">
        <f>((B50*D50)+(F50*H50))/J51</f>
        <v>3.4199999999999996E-4</v>
      </c>
      <c r="C53" s="800" t="s">
        <v>72</v>
      </c>
      <c r="D53" s="780"/>
      <c r="E53" s="784" t="s">
        <v>69</v>
      </c>
      <c r="F53" s="804">
        <f>B53*2000/8760</f>
        <v>7.8082191780821911E-5</v>
      </c>
      <c r="G53" s="780" t="s">
        <v>70</v>
      </c>
      <c r="H53" s="780"/>
      <c r="I53" s="780"/>
      <c r="J53" s="780"/>
      <c r="K53" s="780"/>
      <c r="L53" s="784" t="s">
        <v>69</v>
      </c>
      <c r="M53" s="785">
        <f>((M50*O50)+(Q50*S50))/U51</f>
        <v>0</v>
      </c>
      <c r="N53" s="800" t="s">
        <v>72</v>
      </c>
      <c r="O53" s="780"/>
      <c r="P53" s="784" t="s">
        <v>69</v>
      </c>
      <c r="Q53" s="804">
        <f>M53*2000/8760</f>
        <v>0</v>
      </c>
      <c r="R53" s="780" t="s">
        <v>70</v>
      </c>
      <c r="S53" s="780"/>
      <c r="T53" s="780"/>
      <c r="U53" s="780"/>
      <c r="V53" s="780"/>
    </row>
    <row r="54" spans="1:22" x14ac:dyDescent="0.25">
      <c r="A54" s="780"/>
      <c r="B54" s="780"/>
      <c r="C54" s="781" t="s">
        <v>73</v>
      </c>
      <c r="D54" s="780"/>
      <c r="E54" s="780"/>
      <c r="F54" s="780"/>
      <c r="G54" s="803" t="s">
        <v>128</v>
      </c>
      <c r="H54" s="780"/>
      <c r="I54" s="780"/>
      <c r="J54" s="780"/>
      <c r="K54" s="780"/>
      <c r="L54" s="780"/>
      <c r="M54" s="780"/>
      <c r="N54" s="781" t="s">
        <v>73</v>
      </c>
      <c r="O54" s="780"/>
      <c r="P54" s="780"/>
      <c r="Q54" s="780"/>
      <c r="R54" s="803" t="s">
        <v>128</v>
      </c>
      <c r="S54" s="780"/>
      <c r="T54" s="780"/>
      <c r="U54" s="780"/>
      <c r="V54" s="780"/>
    </row>
    <row r="57" spans="1:22" x14ac:dyDescent="0.25">
      <c r="A57" s="780" t="s">
        <v>76</v>
      </c>
      <c r="B57" s="780"/>
      <c r="C57" s="780"/>
      <c r="D57" s="780"/>
      <c r="E57" s="780"/>
      <c r="F57" s="780"/>
      <c r="G57" s="780"/>
      <c r="H57" s="780"/>
      <c r="I57" s="780"/>
    </row>
    <row r="59" spans="1:22" x14ac:dyDescent="0.25">
      <c r="A59" s="784" t="s">
        <v>69</v>
      </c>
      <c r="B59" s="802">
        <v>1.49E-2</v>
      </c>
      <c r="C59" s="794" t="s">
        <v>70</v>
      </c>
      <c r="D59" s="795">
        <f>B13</f>
        <v>244918</v>
      </c>
      <c r="E59" s="794" t="s">
        <v>71</v>
      </c>
      <c r="F59" s="802">
        <v>0.13800000000000001</v>
      </c>
      <c r="G59" s="794" t="s">
        <v>86</v>
      </c>
      <c r="H59" s="793"/>
      <c r="I59" s="792" t="s">
        <v>72</v>
      </c>
    </row>
    <row r="60" spans="1:22" x14ac:dyDescent="0.25">
      <c r="A60" s="780"/>
      <c r="B60" s="791"/>
      <c r="C60" s="790" t="s">
        <v>86</v>
      </c>
      <c r="D60" s="789"/>
      <c r="E60" s="788" t="s">
        <v>372</v>
      </c>
      <c r="F60" s="789"/>
      <c r="G60" s="788" t="s">
        <v>71</v>
      </c>
      <c r="H60" s="787">
        <v>2000</v>
      </c>
      <c r="I60" s="786" t="s">
        <v>70</v>
      </c>
    </row>
    <row r="63" spans="1:22" x14ac:dyDescent="0.25">
      <c r="A63" s="784" t="s">
        <v>69</v>
      </c>
      <c r="B63" s="783">
        <f>(B59*D59*F59)/H60</f>
        <v>0.25180019580000002</v>
      </c>
      <c r="C63" s="800" t="s">
        <v>72</v>
      </c>
      <c r="D63" s="784" t="s">
        <v>69</v>
      </c>
      <c r="E63" s="783">
        <f>B63*(2000/8760)</f>
        <v>5.7488629178082194E-2</v>
      </c>
      <c r="F63" s="800" t="s">
        <v>70</v>
      </c>
      <c r="G63" s="780"/>
      <c r="H63" s="780"/>
      <c r="I63" s="780"/>
    </row>
    <row r="64" spans="1:22" x14ac:dyDescent="0.25">
      <c r="A64" s="780"/>
      <c r="B64" s="780"/>
      <c r="C64" s="781" t="s">
        <v>279</v>
      </c>
      <c r="D64" s="780"/>
      <c r="E64" s="780"/>
      <c r="F64" s="781" t="s">
        <v>128</v>
      </c>
      <c r="G64" s="780"/>
      <c r="H64" s="780"/>
      <c r="I64" s="780"/>
    </row>
    <row r="67" spans="1:9" x14ac:dyDescent="0.25">
      <c r="A67" s="780" t="s">
        <v>78</v>
      </c>
      <c r="B67" s="780"/>
      <c r="C67" s="780"/>
      <c r="D67" s="780"/>
      <c r="E67" s="780"/>
      <c r="F67" s="780"/>
      <c r="G67" s="780"/>
      <c r="H67" s="780"/>
      <c r="I67" s="780"/>
    </row>
    <row r="69" spans="1:9" x14ac:dyDescent="0.25">
      <c r="A69" s="784" t="s">
        <v>69</v>
      </c>
      <c r="B69" s="802">
        <v>2.6999999999999999E-5</v>
      </c>
      <c r="C69" s="794" t="s">
        <v>70</v>
      </c>
      <c r="D69" s="795">
        <f>B13</f>
        <v>244918</v>
      </c>
      <c r="E69" s="794" t="s">
        <v>71</v>
      </c>
      <c r="F69" s="802">
        <v>0.13800000000000001</v>
      </c>
      <c r="G69" s="794" t="s">
        <v>86</v>
      </c>
      <c r="H69" s="793"/>
      <c r="I69" s="792" t="s">
        <v>72</v>
      </c>
    </row>
    <row r="70" spans="1:9" x14ac:dyDescent="0.25">
      <c r="A70" s="780"/>
      <c r="B70" s="791"/>
      <c r="C70" s="790" t="s">
        <v>86</v>
      </c>
      <c r="D70" s="789"/>
      <c r="E70" s="788" t="s">
        <v>279</v>
      </c>
      <c r="F70" s="789"/>
      <c r="G70" s="788" t="s">
        <v>71</v>
      </c>
      <c r="H70" s="787">
        <v>2000</v>
      </c>
      <c r="I70" s="786" t="s">
        <v>70</v>
      </c>
    </row>
    <row r="73" spans="1:9" x14ac:dyDescent="0.25">
      <c r="A73" s="784" t="s">
        <v>69</v>
      </c>
      <c r="B73" s="801">
        <f>(B69*D69*F69)/H70</f>
        <v>4.5628223400000001E-4</v>
      </c>
      <c r="C73" s="800" t="s">
        <v>72</v>
      </c>
      <c r="D73" s="784" t="s">
        <v>69</v>
      </c>
      <c r="E73" s="801">
        <f>B73*(2000/8760)</f>
        <v>1.0417402602739726E-4</v>
      </c>
      <c r="F73" s="800" t="s">
        <v>70</v>
      </c>
      <c r="G73" s="780"/>
      <c r="H73" s="780"/>
      <c r="I73" s="780"/>
    </row>
    <row r="74" spans="1:9" x14ac:dyDescent="0.25">
      <c r="A74" s="780"/>
      <c r="B74" s="780"/>
      <c r="C74" s="781" t="s">
        <v>279</v>
      </c>
      <c r="D74" s="780"/>
      <c r="E74" s="780"/>
      <c r="F74" s="781" t="s">
        <v>128</v>
      </c>
      <c r="G74" s="780"/>
      <c r="H74" s="780"/>
      <c r="I74" s="780"/>
    </row>
    <row r="75" spans="1:9" x14ac:dyDescent="0.25">
      <c r="A75" s="780"/>
      <c r="B75" s="780"/>
      <c r="C75" s="781"/>
      <c r="D75" s="780"/>
      <c r="E75" s="780"/>
      <c r="F75" s="781"/>
      <c r="G75" s="780"/>
      <c r="H75" s="780"/>
      <c r="I75" s="780"/>
    </row>
    <row r="76" spans="1:9" ht="15.75" thickBot="1" x14ac:dyDescent="0.3"/>
    <row r="77" spans="1:9" ht="15.75" thickBot="1" x14ac:dyDescent="0.3">
      <c r="A77" s="799" t="s">
        <v>328</v>
      </c>
      <c r="B77" s="798" t="s">
        <v>337</v>
      </c>
      <c r="C77" s="988" t="s">
        <v>338</v>
      </c>
      <c r="D77" s="989"/>
    </row>
    <row r="78" spans="1:9" x14ac:dyDescent="0.25">
      <c r="A78" s="797"/>
      <c r="B78" s="780"/>
      <c r="C78" s="780"/>
    </row>
    <row r="79" spans="1:9" x14ac:dyDescent="0.25">
      <c r="A79" s="780" t="s">
        <v>334</v>
      </c>
      <c r="B79" s="780"/>
      <c r="C79" s="780"/>
      <c r="D79" s="780"/>
      <c r="E79" s="780"/>
      <c r="F79" s="780"/>
      <c r="G79" s="780"/>
      <c r="H79" s="780"/>
      <c r="I79" s="780"/>
    </row>
    <row r="81" spans="1:9" x14ac:dyDescent="0.25">
      <c r="A81" s="784" t="s">
        <v>69</v>
      </c>
      <c r="B81" s="796">
        <v>22.577999999999999</v>
      </c>
      <c r="C81" s="794" t="s">
        <v>70</v>
      </c>
      <c r="D81" s="795">
        <f>SUM(B13+M13)</f>
        <v>244918</v>
      </c>
      <c r="E81" s="794" t="s">
        <v>71</v>
      </c>
      <c r="F81" s="793"/>
      <c r="G81" s="792" t="s">
        <v>72</v>
      </c>
    </row>
    <row r="82" spans="1:9" x14ac:dyDescent="0.25">
      <c r="A82" s="780"/>
      <c r="B82" s="791"/>
      <c r="C82" s="790" t="s">
        <v>71</v>
      </c>
      <c r="D82" s="789"/>
      <c r="E82" s="788" t="s">
        <v>279</v>
      </c>
      <c r="F82" s="787">
        <v>2000</v>
      </c>
      <c r="G82" s="786" t="s">
        <v>70</v>
      </c>
    </row>
    <row r="85" spans="1:9" x14ac:dyDescent="0.25">
      <c r="A85" s="784" t="s">
        <v>69</v>
      </c>
      <c r="B85" s="785">
        <f>B81*D81/F82</f>
        <v>2764.8793020000003</v>
      </c>
      <c r="C85" s="782" t="s">
        <v>72</v>
      </c>
      <c r="D85" s="784" t="s">
        <v>69</v>
      </c>
      <c r="E85" s="783">
        <f>B85*(2000/8760)</f>
        <v>631.25098219178085</v>
      </c>
      <c r="F85" s="782" t="s">
        <v>70</v>
      </c>
      <c r="G85" s="780"/>
      <c r="H85" s="780"/>
      <c r="I85" s="780"/>
    </row>
    <row r="86" spans="1:9" x14ac:dyDescent="0.25">
      <c r="A86" s="780"/>
      <c r="B86" s="780"/>
      <c r="C86" s="781" t="s">
        <v>279</v>
      </c>
      <c r="D86" s="780"/>
      <c r="E86" s="780"/>
      <c r="F86" s="781" t="s">
        <v>128</v>
      </c>
      <c r="G86" s="780"/>
      <c r="H86" s="780"/>
      <c r="I86" s="780"/>
    </row>
  </sheetData>
  <mergeCells count="19">
    <mergeCell ref="C77:D77"/>
    <mergeCell ref="D43:E43"/>
    <mergeCell ref="O43:P43"/>
    <mergeCell ref="A48:B48"/>
    <mergeCell ref="L48:M48"/>
    <mergeCell ref="D51:E51"/>
    <mergeCell ref="O51:P51"/>
    <mergeCell ref="D30:E30"/>
    <mergeCell ref="O30:P30"/>
    <mergeCell ref="A38:K38"/>
    <mergeCell ref="L38:V38"/>
    <mergeCell ref="A40:B40"/>
    <mergeCell ref="L40:M40"/>
    <mergeCell ref="A2:K2"/>
    <mergeCell ref="L2:V2"/>
    <mergeCell ref="D22:E22"/>
    <mergeCell ref="O22:P22"/>
    <mergeCell ref="A27:B27"/>
    <mergeCell ref="L27:M27"/>
  </mergeCells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>
    <pageSetUpPr fitToPage="1"/>
  </sheetPr>
  <dimension ref="B2:P20"/>
  <sheetViews>
    <sheetView workbookViewId="0">
      <selection activeCell="N8" sqref="N8:O17"/>
    </sheetView>
  </sheetViews>
  <sheetFormatPr defaultRowHeight="15" x14ac:dyDescent="0.25"/>
  <cols>
    <col min="2" max="2" width="12.140625" bestFit="1" customWidth="1"/>
    <col min="3" max="3" width="11.42578125" customWidth="1"/>
    <col min="4" max="4" width="10.7109375" customWidth="1"/>
    <col min="10" max="10" width="17.85546875" bestFit="1" customWidth="1"/>
    <col min="11" max="12" width="14.85546875" bestFit="1" customWidth="1"/>
    <col min="13" max="13" width="14.85546875" customWidth="1"/>
    <col min="14" max="15" width="13.7109375" bestFit="1" customWidth="1"/>
    <col min="16" max="16" width="14.140625" bestFit="1" customWidth="1"/>
  </cols>
  <sheetData>
    <row r="2" spans="2:16" ht="15" customHeight="1" x14ac:dyDescent="0.25">
      <c r="B2" s="990" t="s">
        <v>396</v>
      </c>
      <c r="C2" s="991"/>
      <c r="D2" s="991"/>
      <c r="J2" s="994" t="s">
        <v>396</v>
      </c>
      <c r="K2" s="995"/>
      <c r="L2" s="995"/>
      <c r="M2" s="995"/>
      <c r="N2" s="995"/>
      <c r="O2" s="995"/>
      <c r="P2" s="996"/>
    </row>
    <row r="3" spans="2:16" x14ac:dyDescent="0.25">
      <c r="B3" s="991"/>
      <c r="C3" s="991"/>
      <c r="D3" s="991"/>
      <c r="J3" s="997"/>
      <c r="K3" s="998"/>
      <c r="L3" s="998"/>
      <c r="M3" s="998"/>
      <c r="N3" s="998"/>
      <c r="O3" s="998"/>
      <c r="P3" s="999"/>
    </row>
    <row r="4" spans="2:16" x14ac:dyDescent="0.25">
      <c r="B4" s="991"/>
      <c r="C4" s="991"/>
      <c r="D4" s="991"/>
      <c r="J4" s="1000"/>
      <c r="K4" s="1001"/>
      <c r="L4" s="1001"/>
      <c r="M4" s="1001"/>
      <c r="N4" s="1001"/>
      <c r="O4" s="1001"/>
      <c r="P4" s="1002"/>
    </row>
    <row r="5" spans="2:16" x14ac:dyDescent="0.25">
      <c r="B5" s="175" t="s">
        <v>5</v>
      </c>
      <c r="C5" s="175" t="s">
        <v>191</v>
      </c>
      <c r="D5" s="175" t="s">
        <v>188</v>
      </c>
      <c r="J5" s="175" t="s">
        <v>5</v>
      </c>
      <c r="K5" s="175" t="s">
        <v>258</v>
      </c>
      <c r="L5" s="175" t="s">
        <v>259</v>
      </c>
      <c r="M5" s="318" t="s">
        <v>263</v>
      </c>
      <c r="N5" s="175" t="s">
        <v>260</v>
      </c>
      <c r="O5" s="175" t="s">
        <v>261</v>
      </c>
      <c r="P5" s="318" t="s">
        <v>263</v>
      </c>
    </row>
    <row r="6" spans="2:16" x14ac:dyDescent="0.25">
      <c r="B6" s="328" t="s">
        <v>192</v>
      </c>
      <c r="C6" s="491">
        <f>M6</f>
        <v>0</v>
      </c>
      <c r="D6" s="491">
        <f>P6</f>
        <v>0</v>
      </c>
      <c r="J6" s="862" t="s">
        <v>192</v>
      </c>
      <c r="K6" s="863"/>
      <c r="L6" s="864"/>
      <c r="M6" s="865">
        <f>SUM(K6:L6)</f>
        <v>0</v>
      </c>
      <c r="N6" s="863"/>
      <c r="O6" s="864"/>
      <c r="P6" s="865">
        <f>SUM(N6:O6)</f>
        <v>0</v>
      </c>
    </row>
    <row r="7" spans="2:16" x14ac:dyDescent="0.25">
      <c r="B7" s="778" t="s">
        <v>193</v>
      </c>
      <c r="C7" s="779">
        <f t="shared" ref="C7:C17" si="0">M7</f>
        <v>6794.9</v>
      </c>
      <c r="D7" s="779">
        <f t="shared" ref="D7:D17" si="1">P7</f>
        <v>1436</v>
      </c>
      <c r="J7" s="854" t="s">
        <v>193</v>
      </c>
      <c r="K7" s="856">
        <v>6794.9</v>
      </c>
      <c r="L7" s="856">
        <v>0</v>
      </c>
      <c r="M7" s="855">
        <f t="shared" ref="M7:M17" si="2">SUM(K7:L7)</f>
        <v>6794.9</v>
      </c>
      <c r="N7" s="856">
        <v>1436</v>
      </c>
      <c r="O7" s="856">
        <v>0</v>
      </c>
      <c r="P7" s="855">
        <f t="shared" ref="P7:P17" si="3">SUM(N7:O7)</f>
        <v>1436</v>
      </c>
    </row>
    <row r="8" spans="2:16" x14ac:dyDescent="0.25">
      <c r="B8" s="328" t="s">
        <v>194</v>
      </c>
      <c r="C8" s="491">
        <f t="shared" si="0"/>
        <v>0</v>
      </c>
      <c r="D8" s="491">
        <f t="shared" si="1"/>
        <v>0</v>
      </c>
      <c r="J8" s="862" t="s">
        <v>194</v>
      </c>
      <c r="K8" s="863"/>
      <c r="L8" s="863"/>
      <c r="M8" s="865">
        <f t="shared" si="2"/>
        <v>0</v>
      </c>
      <c r="N8" s="863"/>
      <c r="O8" s="863"/>
      <c r="P8" s="865">
        <f t="shared" si="3"/>
        <v>0</v>
      </c>
    </row>
    <row r="9" spans="2:16" x14ac:dyDescent="0.25">
      <c r="B9" s="328" t="s">
        <v>195</v>
      </c>
      <c r="C9" s="491">
        <f t="shared" si="0"/>
        <v>0</v>
      </c>
      <c r="D9" s="491">
        <f t="shared" si="1"/>
        <v>0</v>
      </c>
      <c r="J9" s="862" t="s">
        <v>195</v>
      </c>
      <c r="K9" s="863"/>
      <c r="L9" s="863"/>
      <c r="M9" s="865">
        <f t="shared" si="2"/>
        <v>0</v>
      </c>
      <c r="N9" s="863"/>
      <c r="O9" s="863"/>
      <c r="P9" s="865">
        <f t="shared" si="3"/>
        <v>0</v>
      </c>
    </row>
    <row r="10" spans="2:16" x14ac:dyDescent="0.25">
      <c r="B10" s="328" t="s">
        <v>196</v>
      </c>
      <c r="C10" s="491">
        <f t="shared" si="0"/>
        <v>0</v>
      </c>
      <c r="D10" s="491">
        <f t="shared" si="1"/>
        <v>0</v>
      </c>
      <c r="J10" s="862" t="s">
        <v>196</v>
      </c>
      <c r="K10" s="863"/>
      <c r="L10" s="863"/>
      <c r="M10" s="865">
        <f t="shared" si="2"/>
        <v>0</v>
      </c>
      <c r="N10" s="863"/>
      <c r="O10" s="863"/>
      <c r="P10" s="865">
        <f t="shared" si="3"/>
        <v>0</v>
      </c>
    </row>
    <row r="11" spans="2:16" x14ac:dyDescent="0.25">
      <c r="B11" s="328" t="s">
        <v>197</v>
      </c>
      <c r="C11" s="491">
        <f t="shared" si="0"/>
        <v>0</v>
      </c>
      <c r="D11" s="491">
        <f t="shared" si="1"/>
        <v>0</v>
      </c>
      <c r="J11" s="862" t="s">
        <v>197</v>
      </c>
      <c r="K11" s="863"/>
      <c r="L11" s="863"/>
      <c r="M11" s="865">
        <f t="shared" si="2"/>
        <v>0</v>
      </c>
      <c r="N11" s="863"/>
      <c r="O11" s="863"/>
      <c r="P11" s="865">
        <f t="shared" si="3"/>
        <v>0</v>
      </c>
    </row>
    <row r="12" spans="2:16" x14ac:dyDescent="0.25">
      <c r="B12" s="145" t="s">
        <v>198</v>
      </c>
      <c r="C12" s="491">
        <f t="shared" si="0"/>
        <v>0</v>
      </c>
      <c r="D12" s="491">
        <f t="shared" si="1"/>
        <v>0</v>
      </c>
      <c r="J12" s="862" t="s">
        <v>198</v>
      </c>
      <c r="K12" s="863"/>
      <c r="L12" s="863"/>
      <c r="M12" s="865">
        <f t="shared" si="2"/>
        <v>0</v>
      </c>
      <c r="N12" s="863"/>
      <c r="O12" s="863"/>
      <c r="P12" s="865">
        <f t="shared" si="3"/>
        <v>0</v>
      </c>
    </row>
    <row r="13" spans="2:16" x14ac:dyDescent="0.25">
      <c r="B13" s="145" t="s">
        <v>199</v>
      </c>
      <c r="C13" s="491">
        <f t="shared" si="0"/>
        <v>0</v>
      </c>
      <c r="D13" s="491">
        <f t="shared" si="1"/>
        <v>0</v>
      </c>
      <c r="J13" s="862" t="s">
        <v>199</v>
      </c>
      <c r="K13" s="863"/>
      <c r="L13" s="863"/>
      <c r="M13" s="865">
        <f>SUM(K13+L13)</f>
        <v>0</v>
      </c>
      <c r="N13" s="863"/>
      <c r="O13" s="863"/>
      <c r="P13" s="865">
        <f t="shared" si="3"/>
        <v>0</v>
      </c>
    </row>
    <row r="14" spans="2:16" x14ac:dyDescent="0.25">
      <c r="B14" s="145" t="s">
        <v>200</v>
      </c>
      <c r="C14" s="491">
        <f t="shared" si="0"/>
        <v>0</v>
      </c>
      <c r="D14" s="491">
        <f t="shared" si="1"/>
        <v>0</v>
      </c>
      <c r="J14" s="862" t="s">
        <v>200</v>
      </c>
      <c r="K14" s="863"/>
      <c r="L14" s="863"/>
      <c r="M14" s="865">
        <f t="shared" si="2"/>
        <v>0</v>
      </c>
      <c r="N14" s="863"/>
      <c r="O14" s="863"/>
      <c r="P14" s="865">
        <f t="shared" si="3"/>
        <v>0</v>
      </c>
    </row>
    <row r="15" spans="2:16" x14ac:dyDescent="0.25">
      <c r="B15" s="145" t="s">
        <v>201</v>
      </c>
      <c r="C15" s="491">
        <f t="shared" si="0"/>
        <v>0</v>
      </c>
      <c r="D15" s="491">
        <f t="shared" si="1"/>
        <v>0</v>
      </c>
      <c r="J15" s="862" t="s">
        <v>201</v>
      </c>
      <c r="K15" s="863"/>
      <c r="L15" s="864"/>
      <c r="M15" s="865">
        <f t="shared" si="2"/>
        <v>0</v>
      </c>
      <c r="N15" s="863"/>
      <c r="O15" s="864"/>
      <c r="P15" s="865">
        <f t="shared" si="3"/>
        <v>0</v>
      </c>
    </row>
    <row r="16" spans="2:16" x14ac:dyDescent="0.25">
      <c r="B16" s="145" t="s">
        <v>202</v>
      </c>
      <c r="C16" s="491">
        <f t="shared" si="0"/>
        <v>0</v>
      </c>
      <c r="D16" s="491">
        <f t="shared" si="1"/>
        <v>0</v>
      </c>
      <c r="J16" s="862" t="s">
        <v>202</v>
      </c>
      <c r="K16" s="863"/>
      <c r="L16" s="863"/>
      <c r="M16" s="865">
        <f t="shared" si="2"/>
        <v>0</v>
      </c>
      <c r="N16" s="863"/>
      <c r="O16" s="863"/>
      <c r="P16" s="865">
        <f t="shared" si="3"/>
        <v>0</v>
      </c>
    </row>
    <row r="17" spans="2:16" x14ac:dyDescent="0.25">
      <c r="B17" s="145" t="s">
        <v>203</v>
      </c>
      <c r="C17" s="491">
        <f t="shared" si="0"/>
        <v>0</v>
      </c>
      <c r="D17" s="491">
        <f t="shared" si="1"/>
        <v>0</v>
      </c>
      <c r="J17" s="862" t="s">
        <v>203</v>
      </c>
      <c r="K17" s="863"/>
      <c r="L17" s="863"/>
      <c r="M17" s="865">
        <f t="shared" si="2"/>
        <v>0</v>
      </c>
      <c r="N17" s="863"/>
      <c r="O17" s="863"/>
      <c r="P17" s="865">
        <f t="shared" si="3"/>
        <v>0</v>
      </c>
    </row>
    <row r="18" spans="2:16" x14ac:dyDescent="0.25">
      <c r="B18" s="175" t="s">
        <v>189</v>
      </c>
      <c r="C18" s="317">
        <f>SUM(C6:C17)</f>
        <v>6794.9</v>
      </c>
      <c r="D18" s="317">
        <f>SUM(D6:D17)</f>
        <v>1436</v>
      </c>
      <c r="J18" s="866" t="s">
        <v>189</v>
      </c>
      <c r="K18" s="867">
        <f t="shared" ref="K18:P18" si="4">SUM(K6:K17)</f>
        <v>6794.9</v>
      </c>
      <c r="L18" s="867">
        <f t="shared" si="4"/>
        <v>0</v>
      </c>
      <c r="M18" s="867">
        <f t="shared" si="4"/>
        <v>6794.9</v>
      </c>
      <c r="N18" s="867">
        <f t="shared" si="4"/>
        <v>1436</v>
      </c>
      <c r="O18" s="867">
        <f t="shared" si="4"/>
        <v>0</v>
      </c>
      <c r="P18" s="867">
        <f t="shared" si="4"/>
        <v>1436</v>
      </c>
    </row>
    <row r="19" spans="2:16" x14ac:dyDescent="0.25">
      <c r="B19" s="176" t="s">
        <v>190</v>
      </c>
      <c r="C19" s="177">
        <f>C18/2000</f>
        <v>3.3974499999999996</v>
      </c>
      <c r="D19" s="177">
        <f>D18/2000</f>
        <v>0.71799999999999997</v>
      </c>
      <c r="J19" s="176" t="s">
        <v>190</v>
      </c>
      <c r="K19" s="177">
        <f t="shared" ref="K19:P19" si="5">K18/2000</f>
        <v>3.3974499999999996</v>
      </c>
      <c r="L19" s="177">
        <f t="shared" si="5"/>
        <v>0</v>
      </c>
      <c r="M19" s="177">
        <f t="shared" si="5"/>
        <v>3.3974499999999996</v>
      </c>
      <c r="N19" s="177">
        <f t="shared" si="5"/>
        <v>0.71799999999999997</v>
      </c>
      <c r="O19" s="177">
        <f t="shared" si="5"/>
        <v>0</v>
      </c>
      <c r="P19" s="177">
        <f t="shared" si="5"/>
        <v>0.71799999999999997</v>
      </c>
    </row>
    <row r="20" spans="2:16" x14ac:dyDescent="0.25">
      <c r="J20" s="318" t="s">
        <v>262</v>
      </c>
      <c r="K20" s="992">
        <f>SUM(K19:L19)</f>
        <v>3.3974499999999996</v>
      </c>
      <c r="L20" s="993"/>
      <c r="M20" s="320"/>
      <c r="N20" s="992">
        <f>SUM(N19:O19)</f>
        <v>0.71799999999999997</v>
      </c>
      <c r="O20" s="993"/>
      <c r="P20" s="319"/>
    </row>
  </sheetData>
  <mergeCells count="4">
    <mergeCell ref="B2:D4"/>
    <mergeCell ref="K20:L20"/>
    <mergeCell ref="N20:O20"/>
    <mergeCell ref="J2:P4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4750-9B82-4B56-A70E-31711102E254}">
  <sheetPr codeName="Sheet34"/>
  <dimension ref="A2:D29"/>
  <sheetViews>
    <sheetView view="pageLayout" topLeftCell="A2" zoomScaleNormal="100" workbookViewId="0">
      <selection activeCell="D18" sqref="D18"/>
    </sheetView>
  </sheetViews>
  <sheetFormatPr defaultRowHeight="15" x14ac:dyDescent="0.25"/>
  <cols>
    <col min="1" max="1" width="20.85546875" customWidth="1"/>
    <col min="3" max="3" width="21.85546875" customWidth="1"/>
    <col min="4" max="4" width="25.5703125" customWidth="1"/>
  </cols>
  <sheetData>
    <row r="2" spans="1:4" ht="15.75" x14ac:dyDescent="0.25">
      <c r="A2" s="1004" t="s">
        <v>94</v>
      </c>
      <c r="B2" s="1004"/>
      <c r="C2" s="1004"/>
      <c r="D2" s="1004"/>
    </row>
    <row r="3" spans="1:4" ht="15.75" x14ac:dyDescent="0.25">
      <c r="A3" s="852"/>
      <c r="B3" s="852"/>
      <c r="C3" s="852"/>
      <c r="D3" s="852"/>
    </row>
    <row r="4" spans="1:4" ht="15.75" x14ac:dyDescent="0.25">
      <c r="A4" s="1005" t="s">
        <v>95</v>
      </c>
      <c r="B4" s="1005"/>
      <c r="C4" s="1005"/>
      <c r="D4" s="1005"/>
    </row>
    <row r="5" spans="1:4" ht="15.75" x14ac:dyDescent="0.25">
      <c r="A5" s="1005" t="s">
        <v>204</v>
      </c>
      <c r="B5" s="1005"/>
      <c r="C5" s="1005"/>
      <c r="D5" s="1005"/>
    </row>
    <row r="6" spans="1:4" ht="15.75" x14ac:dyDescent="0.25">
      <c r="A6" s="1005" t="s">
        <v>395</v>
      </c>
      <c r="B6" s="1005"/>
      <c r="C6" s="1005"/>
      <c r="D6" s="1005"/>
    </row>
    <row r="7" spans="1:4" ht="15.75" x14ac:dyDescent="0.25">
      <c r="A7" s="853"/>
      <c r="B7" s="853"/>
      <c r="C7" s="853"/>
      <c r="D7" s="853"/>
    </row>
    <row r="8" spans="1:4" ht="15.75" x14ac:dyDescent="0.25">
      <c r="A8" s="1006" t="s">
        <v>397</v>
      </c>
      <c r="B8" s="1006"/>
      <c r="C8" s="1006"/>
      <c r="D8" s="1006"/>
    </row>
    <row r="9" spans="1:4" ht="16.5" thickBot="1" x14ac:dyDescent="0.3">
      <c r="A9" s="842"/>
      <c r="B9" s="852"/>
      <c r="C9" s="842"/>
      <c r="D9" s="842"/>
    </row>
    <row r="10" spans="1:4" ht="15.75" thickTop="1" x14ac:dyDescent="0.25">
      <c r="A10" s="1007" t="s">
        <v>139</v>
      </c>
      <c r="B10" s="1008"/>
      <c r="C10" s="1011" t="s">
        <v>205</v>
      </c>
      <c r="D10" s="1011" t="s">
        <v>206</v>
      </c>
    </row>
    <row r="11" spans="1:4" ht="15.75" thickBot="1" x14ac:dyDescent="0.3">
      <c r="A11" s="1009"/>
      <c r="B11" s="1010"/>
      <c r="C11" s="1012"/>
      <c r="D11" s="1013"/>
    </row>
    <row r="12" spans="1:4" ht="21" thickTop="1" x14ac:dyDescent="0.35">
      <c r="A12" s="851" t="s">
        <v>210</v>
      </c>
      <c r="B12" s="850"/>
      <c r="C12" s="849">
        <v>670</v>
      </c>
      <c r="D12" s="848">
        <f>SUM('Cálculos Cambalache (60%)'!B24+'Cálculos Cambalache (60%)'!M24)</f>
        <v>0.86699999999999999</v>
      </c>
    </row>
    <row r="13" spans="1:4" ht="18.75" x14ac:dyDescent="0.35">
      <c r="A13" s="851" t="s">
        <v>185</v>
      </c>
      <c r="B13" s="850"/>
      <c r="C13" s="849">
        <v>1800</v>
      </c>
      <c r="D13" s="848">
        <f>SUM('Cálculos Cambalache (60%)'!B32+'Cálculos Cambalache (60%)'!M32)</f>
        <v>2.3290000000000002</v>
      </c>
    </row>
    <row r="14" spans="1:4" ht="20.25" x14ac:dyDescent="0.35">
      <c r="A14" s="851" t="s">
        <v>211</v>
      </c>
      <c r="B14" s="850"/>
      <c r="C14" s="849">
        <v>1801</v>
      </c>
      <c r="D14" s="848">
        <f>SUM('CEMS Cambalache'!C19)</f>
        <v>3.3974499999999996</v>
      </c>
    </row>
    <row r="15" spans="1:4" ht="15.75" x14ac:dyDescent="0.25">
      <c r="A15" s="851" t="s">
        <v>59</v>
      </c>
      <c r="B15" s="850"/>
      <c r="C15" s="849">
        <v>180</v>
      </c>
      <c r="D15" s="848">
        <f>SUM('Cálculos Cambalache (60%)'!B45+'Cálculos Cambalache (60%)'!M45)</f>
        <v>0.20699999999999999</v>
      </c>
    </row>
    <row r="16" spans="1:4" ht="18.75" x14ac:dyDescent="0.25">
      <c r="A16" s="851" t="s">
        <v>212</v>
      </c>
      <c r="B16" s="850"/>
      <c r="C16" s="849">
        <v>713</v>
      </c>
      <c r="D16" s="848">
        <f>SUM('CEMS Cambalache'!D19)</f>
        <v>0.71799999999999997</v>
      </c>
    </row>
    <row r="17" spans="1:4" ht="15.75" x14ac:dyDescent="0.25">
      <c r="A17" s="847" t="s">
        <v>63</v>
      </c>
      <c r="B17" s="846"/>
      <c r="C17" s="845">
        <v>0.3</v>
      </c>
      <c r="D17" s="845">
        <f>SUM('Cálculos Cambalache (60%)'!B53+'Cálculos Cambalache (60%)'!M53)</f>
        <v>3.4199999999999996E-4</v>
      </c>
    </row>
    <row r="18" spans="1:4" ht="18.75" x14ac:dyDescent="0.25">
      <c r="A18" s="1003" t="s">
        <v>315</v>
      </c>
      <c r="B18" s="1003"/>
      <c r="C18" s="844"/>
      <c r="D18" s="843">
        <f>SUM('Cálculos Cambalache (60%)'!B85)</f>
        <v>2764.8793020000003</v>
      </c>
    </row>
    <row r="19" spans="1:4" ht="15.75" x14ac:dyDescent="0.25">
      <c r="A19" s="842"/>
      <c r="B19" s="842"/>
      <c r="C19" s="842"/>
      <c r="D19" s="842"/>
    </row>
    <row r="20" spans="1:4" ht="15.75" x14ac:dyDescent="0.25">
      <c r="A20" s="842" t="s">
        <v>103</v>
      </c>
      <c r="B20" s="842"/>
      <c r="C20" s="842"/>
      <c r="D20" s="842"/>
    </row>
    <row r="21" spans="1:4" ht="15.75" x14ac:dyDescent="0.25">
      <c r="A21" s="842" t="s">
        <v>104</v>
      </c>
      <c r="B21" s="842"/>
      <c r="C21" s="842"/>
      <c r="D21" s="842"/>
    </row>
    <row r="22" spans="1:4" ht="15.75" x14ac:dyDescent="0.25">
      <c r="A22" s="842" t="s">
        <v>105</v>
      </c>
      <c r="B22" s="842"/>
      <c r="C22" s="842"/>
      <c r="D22" s="842"/>
    </row>
    <row r="23" spans="1:4" ht="15.75" x14ac:dyDescent="0.25">
      <c r="A23" s="842" t="s">
        <v>106</v>
      </c>
      <c r="B23" s="842"/>
      <c r="C23" s="842"/>
      <c r="D23" s="842"/>
    </row>
    <row r="24" spans="1:4" ht="15.75" x14ac:dyDescent="0.25">
      <c r="A24" s="842"/>
      <c r="B24" s="842"/>
      <c r="C24" s="842"/>
      <c r="D24" s="842"/>
    </row>
    <row r="25" spans="1:4" ht="15.75" x14ac:dyDescent="0.25">
      <c r="A25" s="780" t="s">
        <v>207</v>
      </c>
      <c r="B25" s="842"/>
      <c r="C25" s="842"/>
      <c r="D25" s="842"/>
    </row>
    <row r="26" spans="1:4" ht="15.75" x14ac:dyDescent="0.25">
      <c r="A26" s="842" t="s">
        <v>107</v>
      </c>
      <c r="B26" s="842"/>
      <c r="C26" s="842"/>
      <c r="D26" s="842"/>
    </row>
    <row r="27" spans="1:4" ht="15.75" x14ac:dyDescent="0.25">
      <c r="A27" s="842" t="s">
        <v>208</v>
      </c>
      <c r="B27" s="842"/>
      <c r="C27" s="842"/>
      <c r="D27" s="842"/>
    </row>
    <row r="28" spans="1:4" ht="15.75" x14ac:dyDescent="0.25">
      <c r="A28" s="842" t="s">
        <v>209</v>
      </c>
      <c r="B28" s="780"/>
      <c r="C28" s="780"/>
      <c r="D28" s="780"/>
    </row>
    <row r="29" spans="1:4" ht="15.75" x14ac:dyDescent="0.25">
      <c r="A29" s="842" t="s">
        <v>316</v>
      </c>
    </row>
  </sheetData>
  <mergeCells count="9">
    <mergeCell ref="A18:B18"/>
    <mergeCell ref="A2:D2"/>
    <mergeCell ref="A4:D4"/>
    <mergeCell ref="A5:D5"/>
    <mergeCell ref="A6:D6"/>
    <mergeCell ref="A8:D8"/>
    <mergeCell ref="A10:B11"/>
    <mergeCell ref="C10:C11"/>
    <mergeCell ref="D10:D11"/>
  </mergeCells>
  <pageMargins left="1.135416666666666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A2:AA82"/>
  <sheetViews>
    <sheetView workbookViewId="0">
      <selection activeCell="C42" sqref="C42"/>
    </sheetView>
  </sheetViews>
  <sheetFormatPr defaultRowHeight="15" x14ac:dyDescent="0.25"/>
  <cols>
    <col min="1" max="1" width="10.7109375" customWidth="1"/>
    <col min="2" max="2" width="17.5703125" bestFit="1" customWidth="1"/>
    <col min="3" max="3" width="7.85546875" customWidth="1"/>
    <col min="4" max="4" width="11.7109375" bestFit="1" customWidth="1"/>
    <col min="6" max="6" width="6.7109375" customWidth="1"/>
    <col min="8" max="8" width="6.140625" customWidth="1"/>
    <col min="11" max="11" width="10.85546875" customWidth="1"/>
    <col min="12" max="12" width="17.5703125" bestFit="1" customWidth="1"/>
    <col min="14" max="14" width="11.7109375" bestFit="1" customWidth="1"/>
    <col min="24" max="24" width="20.140625" customWidth="1"/>
  </cols>
  <sheetData>
    <row r="2" spans="1:27" x14ac:dyDescent="0.25">
      <c r="A2" s="898" t="s">
        <v>352</v>
      </c>
      <c r="B2" s="898"/>
      <c r="C2" s="898"/>
      <c r="D2" s="898"/>
      <c r="E2" s="898"/>
      <c r="F2" s="898"/>
      <c r="G2" s="898"/>
      <c r="H2" s="898"/>
      <c r="I2" s="898"/>
      <c r="J2" s="898"/>
      <c r="K2" s="898" t="s">
        <v>353</v>
      </c>
      <c r="L2" s="898"/>
      <c r="M2" s="898"/>
      <c r="N2" s="898"/>
      <c r="O2" s="898"/>
      <c r="P2" s="898"/>
      <c r="Q2" s="898"/>
      <c r="R2" s="898"/>
      <c r="S2" s="898"/>
      <c r="T2" s="898"/>
    </row>
    <row r="3" spans="1:27" ht="15.75" thickBot="1" x14ac:dyDescent="0.3">
      <c r="AA3" s="210"/>
    </row>
    <row r="4" spans="1:27" ht="15.75" thickBot="1" x14ac:dyDescent="0.3">
      <c r="A4" s="1014" t="s">
        <v>286</v>
      </c>
      <c r="B4" s="1015"/>
      <c r="C4" s="24"/>
      <c r="D4" s="24"/>
      <c r="E4" s="24"/>
      <c r="F4" s="24"/>
      <c r="G4" s="24"/>
      <c r="H4" s="24"/>
      <c r="I4" s="24"/>
      <c r="J4" s="24"/>
      <c r="K4" s="1014" t="s">
        <v>286</v>
      </c>
      <c r="L4" s="1015"/>
      <c r="M4" s="24"/>
      <c r="N4" s="24"/>
      <c r="O4" s="24"/>
      <c r="P4" s="24"/>
      <c r="Q4" s="24"/>
      <c r="R4" s="24"/>
      <c r="S4" s="24"/>
      <c r="T4" s="24"/>
    </row>
    <row r="5" spans="1:27" x14ac:dyDescent="0.25">
      <c r="A5" s="190" t="s">
        <v>54</v>
      </c>
      <c r="B5" s="191" t="s">
        <v>87</v>
      </c>
      <c r="C5" s="24"/>
      <c r="D5" s="24"/>
      <c r="E5" s="24"/>
      <c r="F5" s="24"/>
      <c r="G5" s="24"/>
      <c r="H5" s="24"/>
      <c r="I5" s="24"/>
      <c r="J5" s="24"/>
      <c r="K5" s="190" t="s">
        <v>54</v>
      </c>
      <c r="L5" s="191" t="s">
        <v>87</v>
      </c>
      <c r="M5" s="24"/>
      <c r="N5" s="24"/>
      <c r="O5" s="24"/>
      <c r="P5" s="24"/>
      <c r="Q5" s="24"/>
      <c r="R5" s="24"/>
      <c r="S5" s="24"/>
      <c r="T5" s="24"/>
      <c r="AA5" s="316"/>
    </row>
    <row r="6" spans="1:27" x14ac:dyDescent="0.25">
      <c r="A6" s="99" t="s">
        <v>56</v>
      </c>
      <c r="B6" s="98" t="s">
        <v>82</v>
      </c>
      <c r="C6" s="24"/>
      <c r="D6" s="24"/>
      <c r="E6" s="24"/>
      <c r="F6" s="24"/>
      <c r="G6" s="24"/>
      <c r="H6" s="24"/>
      <c r="I6" s="24"/>
      <c r="J6" s="24"/>
      <c r="K6" s="99" t="s">
        <v>56</v>
      </c>
      <c r="L6" s="98" t="s">
        <v>82</v>
      </c>
      <c r="M6" s="24"/>
      <c r="N6" s="24"/>
      <c r="O6" s="24"/>
      <c r="P6" s="24"/>
      <c r="Q6" s="24"/>
      <c r="R6" s="24"/>
      <c r="S6" s="24"/>
      <c r="T6" s="24"/>
      <c r="AA6" s="316"/>
    </row>
    <row r="7" spans="1:27" x14ac:dyDescent="0.25">
      <c r="A7" s="99" t="s">
        <v>57</v>
      </c>
      <c r="B7" s="98" t="s">
        <v>148</v>
      </c>
      <c r="C7" s="24"/>
      <c r="D7" s="24"/>
      <c r="E7" s="24"/>
      <c r="F7" s="24"/>
      <c r="G7" s="24"/>
      <c r="H7" s="24"/>
      <c r="I7" s="24"/>
      <c r="J7" s="24"/>
      <c r="K7" s="99" t="s">
        <v>57</v>
      </c>
      <c r="L7" s="98" t="s">
        <v>148</v>
      </c>
      <c r="M7" s="24"/>
      <c r="N7" s="24"/>
      <c r="O7" s="24"/>
      <c r="P7" s="24"/>
      <c r="Q7" s="24"/>
      <c r="R7" s="24"/>
      <c r="S7" s="24"/>
      <c r="T7" s="24"/>
      <c r="AA7" s="316"/>
    </row>
    <row r="8" spans="1:27" x14ac:dyDescent="0.25">
      <c r="A8" s="99" t="s">
        <v>59</v>
      </c>
      <c r="B8" s="98" t="s">
        <v>83</v>
      </c>
      <c r="C8" s="24"/>
      <c r="D8" s="24"/>
      <c r="E8" s="24"/>
      <c r="F8" s="24"/>
      <c r="G8" s="24"/>
      <c r="H8" s="24"/>
      <c r="I8" s="24"/>
      <c r="J8" s="24"/>
      <c r="K8" s="99" t="s">
        <v>59</v>
      </c>
      <c r="L8" s="98" t="s">
        <v>83</v>
      </c>
      <c r="M8" s="24"/>
      <c r="N8" s="24"/>
      <c r="O8" s="24"/>
      <c r="P8" s="24"/>
      <c r="Q8" s="24"/>
      <c r="R8" s="24"/>
      <c r="S8" s="24"/>
      <c r="T8" s="24"/>
      <c r="AA8" s="316"/>
    </row>
    <row r="9" spans="1:27" x14ac:dyDescent="0.25">
      <c r="A9" s="99" t="s">
        <v>216</v>
      </c>
      <c r="B9" s="98" t="s">
        <v>84</v>
      </c>
      <c r="C9" s="24"/>
      <c r="D9" s="24"/>
      <c r="E9" s="24"/>
      <c r="F9" s="24"/>
      <c r="G9" s="24"/>
      <c r="H9" s="24"/>
      <c r="I9" s="24"/>
      <c r="J9" s="24"/>
      <c r="K9" s="99" t="s">
        <v>216</v>
      </c>
      <c r="L9" s="98" t="s">
        <v>84</v>
      </c>
      <c r="M9" s="24"/>
      <c r="N9" s="24"/>
      <c r="O9" s="24"/>
      <c r="P9" s="24"/>
      <c r="Q9" s="24"/>
      <c r="R9" s="24"/>
      <c r="S9" s="24"/>
      <c r="T9" s="24"/>
      <c r="AA9" s="316"/>
    </row>
    <row r="10" spans="1:27" ht="15.75" thickBot="1" x14ac:dyDescent="0.3">
      <c r="A10" s="100" t="s">
        <v>63</v>
      </c>
      <c r="B10" s="101" t="s">
        <v>150</v>
      </c>
      <c r="C10" s="24"/>
      <c r="D10" s="24"/>
      <c r="E10" s="24"/>
      <c r="F10" s="24"/>
      <c r="G10" s="24"/>
      <c r="H10" s="24"/>
      <c r="I10" s="24"/>
      <c r="J10" s="24"/>
      <c r="K10" s="100" t="s">
        <v>63</v>
      </c>
      <c r="L10" s="101" t="s">
        <v>150</v>
      </c>
      <c r="M10" s="24"/>
      <c r="N10" s="24"/>
      <c r="O10" s="24"/>
      <c r="P10" s="24"/>
      <c r="Q10" s="24"/>
      <c r="R10" s="24"/>
      <c r="S10" s="24"/>
      <c r="T10" s="24"/>
      <c r="AA10" s="315"/>
    </row>
    <row r="11" spans="1:27" ht="15.75" thickBot="1" x14ac:dyDescent="0.3">
      <c r="A11" s="516" t="s">
        <v>328</v>
      </c>
      <c r="B11" s="517" t="s">
        <v>337</v>
      </c>
      <c r="C11" s="518" t="s">
        <v>338</v>
      </c>
      <c r="D11" s="24"/>
      <c r="E11" s="24"/>
      <c r="F11" s="24"/>
      <c r="G11" s="24"/>
      <c r="H11" s="24"/>
      <c r="I11" s="24"/>
      <c r="K11" s="516" t="s">
        <v>328</v>
      </c>
      <c r="L11" s="517" t="s">
        <v>337</v>
      </c>
      <c r="M11" s="518" t="s">
        <v>338</v>
      </c>
    </row>
    <row r="12" spans="1:27" x14ac:dyDescent="0.25">
      <c r="AA12" s="315"/>
    </row>
    <row r="13" spans="1:27" x14ac:dyDescent="0.25">
      <c r="A13" s="24" t="s">
        <v>115</v>
      </c>
      <c r="B13" s="67">
        <f>Turbinas!F7</f>
        <v>0</v>
      </c>
      <c r="C13" s="24" t="s">
        <v>217</v>
      </c>
      <c r="D13" s="24"/>
      <c r="E13" s="187"/>
      <c r="F13" s="24"/>
      <c r="G13" s="24"/>
      <c r="H13" s="24"/>
      <c r="I13" s="24"/>
      <c r="J13" s="24"/>
      <c r="K13" s="24" t="s">
        <v>115</v>
      </c>
      <c r="L13" s="67">
        <f>Turbinas!G7</f>
        <v>0</v>
      </c>
      <c r="M13" s="24" t="s">
        <v>217</v>
      </c>
      <c r="N13" s="24"/>
      <c r="O13" s="187"/>
      <c r="P13" s="24"/>
      <c r="Q13" s="24"/>
      <c r="R13" s="24"/>
      <c r="S13" s="24"/>
      <c r="T13" s="24"/>
      <c r="AA13" s="315"/>
    </row>
    <row r="14" spans="1:27" x14ac:dyDescent="0.25">
      <c r="A14" s="24" t="s">
        <v>67</v>
      </c>
      <c r="B14" s="67">
        <f>Turbinas!U7</f>
        <v>0.01</v>
      </c>
      <c r="C14" s="24"/>
      <c r="D14" s="24"/>
      <c r="E14" s="24"/>
      <c r="F14" s="24"/>
      <c r="G14" s="24"/>
      <c r="H14" s="24"/>
      <c r="I14" s="24"/>
      <c r="J14" s="24"/>
      <c r="K14" s="24" t="s">
        <v>67</v>
      </c>
      <c r="L14" s="67">
        <f>Turbinas!V7</f>
        <v>0.01</v>
      </c>
      <c r="M14" s="24"/>
      <c r="N14" s="24"/>
      <c r="O14" s="24"/>
      <c r="P14" s="24"/>
      <c r="Q14" s="24"/>
      <c r="R14" s="24"/>
      <c r="S14" s="24"/>
      <c r="T14" s="24"/>
      <c r="V14">
        <f>(73.96+0.003*25+0.0006*298)*2.2046*0.138</f>
        <v>22.578420600240001</v>
      </c>
      <c r="W14" t="s">
        <v>329</v>
      </c>
      <c r="AA14" s="315"/>
    </row>
    <row r="15" spans="1:27" x14ac:dyDescent="0.25">
      <c r="AA15" s="315"/>
    </row>
    <row r="16" spans="1:27" x14ac:dyDescent="0.25">
      <c r="AA16" s="315"/>
    </row>
    <row r="17" spans="1:27" x14ac:dyDescent="0.25">
      <c r="A17" s="24" t="s">
        <v>68</v>
      </c>
      <c r="B17" s="24"/>
      <c r="C17" s="24"/>
      <c r="D17" s="24"/>
      <c r="E17" s="24"/>
      <c r="F17" s="24"/>
      <c r="G17" s="24"/>
      <c r="H17" s="24"/>
      <c r="I17" s="24"/>
      <c r="J17" s="24"/>
      <c r="K17" s="24" t="s">
        <v>68</v>
      </c>
      <c r="L17" s="24"/>
      <c r="M17" s="24"/>
      <c r="N17" s="24"/>
      <c r="O17" s="24"/>
      <c r="P17" s="24"/>
      <c r="Q17" s="24"/>
      <c r="R17" s="24"/>
      <c r="S17" s="24"/>
      <c r="T17" s="24"/>
      <c r="AA17" s="210"/>
    </row>
    <row r="19" spans="1:27" x14ac:dyDescent="0.25">
      <c r="A19" s="28" t="s">
        <v>69</v>
      </c>
      <c r="B19" s="66">
        <v>1.2E-2</v>
      </c>
      <c r="C19" s="65" t="s">
        <v>70</v>
      </c>
      <c r="D19" s="112">
        <f>B13</f>
        <v>0</v>
      </c>
      <c r="E19" s="65" t="s">
        <v>126</v>
      </c>
      <c r="F19" s="66">
        <v>0.13800000000000001</v>
      </c>
      <c r="G19" s="65" t="s">
        <v>86</v>
      </c>
      <c r="H19" s="66">
        <v>1</v>
      </c>
      <c r="I19" s="174" t="s">
        <v>72</v>
      </c>
      <c r="J19" s="96"/>
      <c r="K19" s="28" t="s">
        <v>69</v>
      </c>
      <c r="L19" s="66">
        <v>1.2E-2</v>
      </c>
      <c r="M19" s="65" t="s">
        <v>70</v>
      </c>
      <c r="N19" s="112">
        <f>L13</f>
        <v>0</v>
      </c>
      <c r="O19" s="65" t="s">
        <v>126</v>
      </c>
      <c r="P19" s="66">
        <v>0.13800000000000001</v>
      </c>
      <c r="Q19" s="65" t="s">
        <v>86</v>
      </c>
      <c r="R19" s="66">
        <v>1</v>
      </c>
      <c r="S19" s="174" t="s">
        <v>72</v>
      </c>
      <c r="T19" s="96"/>
    </row>
    <row r="20" spans="1:27" x14ac:dyDescent="0.25">
      <c r="A20" s="24"/>
      <c r="B20" s="118"/>
      <c r="C20" s="119" t="s">
        <v>86</v>
      </c>
      <c r="D20" s="118"/>
      <c r="E20" s="119" t="s">
        <v>279</v>
      </c>
      <c r="F20" s="118"/>
      <c r="G20" s="119" t="s">
        <v>71</v>
      </c>
      <c r="H20" s="56">
        <v>2000</v>
      </c>
      <c r="I20" s="24" t="s">
        <v>70</v>
      </c>
      <c r="J20" s="96"/>
      <c r="K20" s="24"/>
      <c r="L20" s="118"/>
      <c r="M20" s="119" t="s">
        <v>86</v>
      </c>
      <c r="N20" s="118"/>
      <c r="O20" s="119" t="s">
        <v>279</v>
      </c>
      <c r="P20" s="118"/>
      <c r="Q20" s="119" t="s">
        <v>71</v>
      </c>
      <c r="R20" s="56">
        <v>2000</v>
      </c>
      <c r="S20" s="24" t="s">
        <v>70</v>
      </c>
      <c r="T20" s="96"/>
    </row>
    <row r="21" spans="1:2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6"/>
      <c r="K21" s="24"/>
      <c r="L21" s="24"/>
      <c r="M21" s="24"/>
      <c r="N21" s="24"/>
      <c r="O21" s="24"/>
      <c r="P21" s="24"/>
      <c r="Q21" s="24"/>
      <c r="R21" s="24"/>
      <c r="S21" s="24"/>
      <c r="T21" s="26"/>
    </row>
    <row r="22" spans="1:27" x14ac:dyDescent="0.25">
      <c r="A22" s="28" t="s">
        <v>69</v>
      </c>
      <c r="B22" s="322">
        <f>(B19*D19*F19)/H20</f>
        <v>0</v>
      </c>
      <c r="C22" s="29" t="s">
        <v>72</v>
      </c>
      <c r="D22" s="24"/>
      <c r="E22" s="24"/>
      <c r="F22" s="24"/>
      <c r="G22" s="24"/>
      <c r="H22" s="24"/>
      <c r="I22" s="24"/>
      <c r="J22" s="26"/>
      <c r="K22" s="28" t="s">
        <v>69</v>
      </c>
      <c r="L22" s="322">
        <f>(L19*N19*P19)/R20</f>
        <v>0</v>
      </c>
      <c r="M22" s="29" t="s">
        <v>72</v>
      </c>
      <c r="N22" s="24"/>
      <c r="O22" s="24"/>
      <c r="P22" s="24"/>
      <c r="Q22" s="24"/>
      <c r="R22" s="24"/>
      <c r="S22" s="24"/>
      <c r="T22" s="26"/>
    </row>
    <row r="23" spans="1:27" x14ac:dyDescent="0.25">
      <c r="A23" s="24"/>
      <c r="B23" s="24"/>
      <c r="C23" s="26" t="s">
        <v>279</v>
      </c>
      <c r="D23" s="24"/>
      <c r="E23" s="24"/>
      <c r="F23" s="24"/>
      <c r="G23" s="24"/>
      <c r="H23" s="24"/>
      <c r="I23" s="24"/>
      <c r="J23" s="26"/>
      <c r="K23" s="24"/>
      <c r="L23" s="24"/>
      <c r="M23" s="26" t="s">
        <v>279</v>
      </c>
      <c r="N23" s="24"/>
      <c r="O23" s="24"/>
      <c r="P23" s="24"/>
      <c r="Q23" s="24"/>
      <c r="R23" s="24"/>
      <c r="S23" s="24"/>
      <c r="T23" s="26"/>
    </row>
    <row r="24" spans="1:2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6"/>
      <c r="K24" s="24"/>
      <c r="L24" s="24"/>
      <c r="M24" s="24"/>
      <c r="N24" s="24"/>
      <c r="O24" s="24"/>
      <c r="P24" s="24"/>
      <c r="Q24" s="24"/>
      <c r="R24" s="24"/>
      <c r="S24" s="24"/>
      <c r="T24" s="26"/>
    </row>
    <row r="25" spans="1:27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6"/>
      <c r="K25" s="24"/>
      <c r="L25" s="24"/>
      <c r="M25" s="24"/>
      <c r="N25" s="24"/>
      <c r="O25" s="24"/>
      <c r="P25" s="24"/>
      <c r="Q25" s="24"/>
      <c r="R25" s="24"/>
      <c r="S25" s="24"/>
      <c r="T25" s="26"/>
    </row>
    <row r="26" spans="1:27" x14ac:dyDescent="0.25">
      <c r="A26" s="24" t="s">
        <v>74</v>
      </c>
      <c r="B26" s="24"/>
      <c r="C26" s="24"/>
      <c r="D26" s="24"/>
      <c r="E26" s="24"/>
      <c r="F26" s="24"/>
      <c r="G26" s="24"/>
      <c r="H26" s="24"/>
      <c r="I26" s="24"/>
      <c r="J26" s="26"/>
      <c r="K26" s="24" t="s">
        <v>74</v>
      </c>
      <c r="L26" s="24"/>
      <c r="M26" s="24"/>
      <c r="N26" s="24"/>
      <c r="O26" s="24"/>
      <c r="P26" s="24"/>
      <c r="Q26" s="24"/>
      <c r="R26" s="24"/>
      <c r="S26" s="24"/>
      <c r="T26" s="26"/>
    </row>
    <row r="27" spans="1:27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6"/>
      <c r="K27" s="24"/>
      <c r="L27" s="24"/>
      <c r="M27" s="24"/>
      <c r="N27" s="24"/>
      <c r="O27" s="24"/>
      <c r="P27" s="24"/>
      <c r="Q27" s="24"/>
      <c r="R27" s="24"/>
      <c r="S27" s="24"/>
      <c r="T27" s="26"/>
    </row>
    <row r="28" spans="1:27" x14ac:dyDescent="0.25">
      <c r="A28" s="28" t="s">
        <v>69</v>
      </c>
      <c r="B28" s="116">
        <f>1.01*B14</f>
        <v>1.01E-2</v>
      </c>
      <c r="C28" s="65" t="s">
        <v>70</v>
      </c>
      <c r="D28" s="112">
        <f>B13</f>
        <v>0</v>
      </c>
      <c r="E28" s="65" t="s">
        <v>126</v>
      </c>
      <c r="F28" s="66">
        <v>0.13800000000000001</v>
      </c>
      <c r="G28" s="65" t="s">
        <v>86</v>
      </c>
      <c r="H28" s="66">
        <v>1</v>
      </c>
      <c r="I28" s="174" t="s">
        <v>72</v>
      </c>
      <c r="J28" s="96"/>
      <c r="K28" s="28" t="s">
        <v>69</v>
      </c>
      <c r="L28" s="116">
        <f>1.01*L14</f>
        <v>1.01E-2</v>
      </c>
      <c r="M28" s="65" t="s">
        <v>70</v>
      </c>
      <c r="N28" s="112">
        <f>L13</f>
        <v>0</v>
      </c>
      <c r="O28" s="65" t="s">
        <v>126</v>
      </c>
      <c r="P28" s="66">
        <v>0.13800000000000001</v>
      </c>
      <c r="Q28" s="65" t="s">
        <v>86</v>
      </c>
      <c r="R28" s="66">
        <v>1</v>
      </c>
      <c r="S28" s="174" t="s">
        <v>72</v>
      </c>
      <c r="T28" s="96"/>
    </row>
    <row r="29" spans="1:27" x14ac:dyDescent="0.25">
      <c r="A29" s="24"/>
      <c r="B29" s="118"/>
      <c r="C29" s="119" t="s">
        <v>86</v>
      </c>
      <c r="D29" s="118"/>
      <c r="E29" s="119" t="s">
        <v>279</v>
      </c>
      <c r="F29" s="118"/>
      <c r="G29" s="119" t="s">
        <v>71</v>
      </c>
      <c r="H29" s="56">
        <v>2000</v>
      </c>
      <c r="I29" s="24" t="s">
        <v>70</v>
      </c>
      <c r="J29" s="96"/>
      <c r="K29" s="24"/>
      <c r="L29" s="118"/>
      <c r="M29" s="119" t="s">
        <v>86</v>
      </c>
      <c r="N29" s="118"/>
      <c r="O29" s="119" t="s">
        <v>279</v>
      </c>
      <c r="P29" s="118"/>
      <c r="Q29" s="119" t="s">
        <v>71</v>
      </c>
      <c r="R29" s="56">
        <v>2000</v>
      </c>
      <c r="S29" s="24" t="s">
        <v>70</v>
      </c>
      <c r="T29" s="96"/>
    </row>
    <row r="30" spans="1:27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6"/>
      <c r="K30" s="24"/>
      <c r="L30" s="24"/>
      <c r="M30" s="24"/>
      <c r="N30" s="24"/>
      <c r="O30" s="24"/>
      <c r="P30" s="24"/>
      <c r="Q30" s="24"/>
      <c r="R30" s="24"/>
      <c r="S30" s="24"/>
      <c r="T30" s="26"/>
    </row>
    <row r="31" spans="1:27" x14ac:dyDescent="0.25">
      <c r="A31" s="28" t="s">
        <v>69</v>
      </c>
      <c r="B31" s="189">
        <f>(B28*D28*F28)/H29</f>
        <v>0</v>
      </c>
      <c r="C31" s="29" t="s">
        <v>72</v>
      </c>
      <c r="D31" s="24"/>
      <c r="E31" s="24"/>
      <c r="F31" s="24"/>
      <c r="G31" s="24"/>
      <c r="H31" s="24"/>
      <c r="I31" s="24"/>
      <c r="J31" s="26"/>
      <c r="K31" s="28" t="s">
        <v>69</v>
      </c>
      <c r="L31" s="189">
        <f>(L28*N28*P28)/R29</f>
        <v>0</v>
      </c>
      <c r="M31" s="29" t="s">
        <v>72</v>
      </c>
      <c r="N31" s="24"/>
      <c r="O31" s="24"/>
      <c r="P31" s="24"/>
      <c r="Q31" s="24"/>
      <c r="R31" s="24"/>
      <c r="S31" s="24"/>
      <c r="T31" s="26"/>
    </row>
    <row r="32" spans="1:27" x14ac:dyDescent="0.25">
      <c r="A32" s="24"/>
      <c r="B32" s="24"/>
      <c r="C32" s="26" t="s">
        <v>279</v>
      </c>
      <c r="D32" s="24"/>
      <c r="E32" s="24"/>
      <c r="F32" s="24"/>
      <c r="G32" s="24"/>
      <c r="H32" s="24"/>
      <c r="I32" s="24"/>
      <c r="J32" s="26"/>
      <c r="K32" s="24"/>
      <c r="L32" s="24"/>
      <c r="M32" s="26" t="s">
        <v>279</v>
      </c>
      <c r="N32" s="24"/>
      <c r="O32" s="24"/>
      <c r="P32" s="24"/>
      <c r="Q32" s="24"/>
      <c r="R32" s="24"/>
      <c r="S32" s="24"/>
      <c r="T32" s="26"/>
    </row>
    <row r="33" spans="1:2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6"/>
      <c r="K33" s="24"/>
      <c r="L33" s="24"/>
      <c r="M33" s="24"/>
      <c r="N33" s="24"/>
      <c r="O33" s="24"/>
      <c r="P33" s="24"/>
      <c r="Q33" s="24"/>
      <c r="R33" s="24"/>
      <c r="S33" s="24"/>
      <c r="T33" s="26"/>
    </row>
    <row r="34" spans="1:2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6"/>
      <c r="K34" s="24"/>
      <c r="L34" s="24"/>
      <c r="M34" s="24"/>
      <c r="N34" s="24"/>
      <c r="O34" s="24"/>
      <c r="P34" s="24"/>
      <c r="Q34" s="24"/>
      <c r="R34" s="24"/>
      <c r="S34" s="24"/>
      <c r="T34" s="26"/>
    </row>
    <row r="35" spans="1:20" x14ac:dyDescent="0.25">
      <c r="A35" s="24" t="s">
        <v>75</v>
      </c>
      <c r="B35" s="24"/>
      <c r="C35" s="24"/>
      <c r="D35" s="24"/>
      <c r="E35" s="24"/>
      <c r="F35" s="24"/>
      <c r="G35" s="24"/>
      <c r="H35" s="24"/>
      <c r="I35" s="24"/>
      <c r="J35" s="26"/>
      <c r="K35" s="24" t="s">
        <v>75</v>
      </c>
      <c r="L35" s="24"/>
      <c r="M35" s="24"/>
      <c r="N35" s="24"/>
      <c r="O35" s="24"/>
      <c r="P35" s="24"/>
      <c r="Q35" s="24"/>
      <c r="R35" s="24"/>
      <c r="S35" s="24"/>
      <c r="T35" s="26"/>
    </row>
    <row r="36" spans="1:2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6"/>
      <c r="K36" s="24"/>
      <c r="L36" s="24"/>
      <c r="M36" s="24"/>
      <c r="N36" s="24"/>
      <c r="O36" s="24"/>
      <c r="P36" s="24"/>
      <c r="Q36" s="24"/>
      <c r="R36" s="24"/>
      <c r="S36" s="24"/>
      <c r="T36" s="26"/>
    </row>
    <row r="37" spans="1:20" x14ac:dyDescent="0.25">
      <c r="A37" s="28" t="s">
        <v>69</v>
      </c>
      <c r="B37" s="66">
        <v>0.88</v>
      </c>
      <c r="C37" s="65" t="s">
        <v>70</v>
      </c>
      <c r="D37" s="112">
        <f>B13</f>
        <v>0</v>
      </c>
      <c r="E37" s="65" t="s">
        <v>126</v>
      </c>
      <c r="F37" s="66">
        <v>0.13800000000000001</v>
      </c>
      <c r="G37" s="65" t="s">
        <v>86</v>
      </c>
      <c r="H37" s="66">
        <v>1</v>
      </c>
      <c r="I37" s="174" t="s">
        <v>72</v>
      </c>
      <c r="J37" s="96"/>
      <c r="K37" s="28" t="s">
        <v>69</v>
      </c>
      <c r="L37" s="66">
        <v>0.88</v>
      </c>
      <c r="M37" s="65" t="s">
        <v>70</v>
      </c>
      <c r="N37" s="112">
        <f>L13</f>
        <v>0</v>
      </c>
      <c r="O37" s="65" t="s">
        <v>126</v>
      </c>
      <c r="P37" s="66">
        <v>0.13800000000000001</v>
      </c>
      <c r="Q37" s="65" t="s">
        <v>86</v>
      </c>
      <c r="R37" s="66">
        <v>1</v>
      </c>
      <c r="S37" s="174" t="s">
        <v>72</v>
      </c>
      <c r="T37" s="96"/>
    </row>
    <row r="38" spans="1:20" x14ac:dyDescent="0.25">
      <c r="A38" s="24"/>
      <c r="B38" s="118"/>
      <c r="C38" s="119" t="s">
        <v>86</v>
      </c>
      <c r="D38" s="118"/>
      <c r="E38" s="119" t="s">
        <v>279</v>
      </c>
      <c r="F38" s="118"/>
      <c r="G38" s="119" t="s">
        <v>71</v>
      </c>
      <c r="H38" s="56">
        <v>2000</v>
      </c>
      <c r="I38" s="24" t="s">
        <v>70</v>
      </c>
      <c r="J38" s="96"/>
      <c r="K38" s="24"/>
      <c r="L38" s="118"/>
      <c r="M38" s="119" t="s">
        <v>86</v>
      </c>
      <c r="N38" s="118"/>
      <c r="O38" s="119" t="s">
        <v>279</v>
      </c>
      <c r="P38" s="118"/>
      <c r="Q38" s="119" t="s">
        <v>71</v>
      </c>
      <c r="R38" s="56">
        <v>2000</v>
      </c>
      <c r="S38" s="24" t="s">
        <v>70</v>
      </c>
      <c r="T38" s="96"/>
    </row>
    <row r="39" spans="1:2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6"/>
      <c r="K39" s="24"/>
      <c r="L39" s="24"/>
      <c r="M39" s="24"/>
      <c r="N39" s="24"/>
      <c r="O39" s="24"/>
      <c r="P39" s="24"/>
      <c r="Q39" s="24"/>
      <c r="R39" s="24"/>
      <c r="S39" s="24"/>
      <c r="T39" s="26"/>
    </row>
    <row r="40" spans="1:20" x14ac:dyDescent="0.25">
      <c r="A40" s="28" t="s">
        <v>69</v>
      </c>
      <c r="B40" s="188">
        <f>(B37*D37*F37)/H38</f>
        <v>0</v>
      </c>
      <c r="C40" s="29" t="s">
        <v>72</v>
      </c>
      <c r="D40" s="24"/>
      <c r="E40" s="24"/>
      <c r="F40" s="24"/>
      <c r="G40" s="24"/>
      <c r="H40" s="24"/>
      <c r="I40" s="24"/>
      <c r="J40" s="26"/>
      <c r="K40" s="28" t="s">
        <v>69</v>
      </c>
      <c r="L40" s="188">
        <f>(L37*N37*P37)/R38</f>
        <v>0</v>
      </c>
      <c r="M40" s="29" t="s">
        <v>72</v>
      </c>
      <c r="N40" s="24"/>
      <c r="O40" s="24"/>
      <c r="P40" s="24"/>
      <c r="Q40" s="24"/>
      <c r="R40" s="24"/>
      <c r="S40" s="24"/>
      <c r="T40" s="26"/>
    </row>
    <row r="41" spans="1:20" x14ac:dyDescent="0.25">
      <c r="A41" s="24"/>
      <c r="B41" s="24"/>
      <c r="C41" s="26" t="s">
        <v>279</v>
      </c>
      <c r="D41" s="24"/>
      <c r="E41" s="24"/>
      <c r="F41" s="24"/>
      <c r="G41" s="24"/>
      <c r="H41" s="24"/>
      <c r="I41" s="24"/>
      <c r="J41" s="26"/>
      <c r="K41" s="24"/>
      <c r="L41" s="24"/>
      <c r="M41" s="26" t="s">
        <v>279</v>
      </c>
      <c r="N41" s="24"/>
      <c r="O41" s="24"/>
      <c r="P41" s="24"/>
      <c r="Q41" s="24"/>
      <c r="R41" s="24"/>
      <c r="S41" s="24"/>
      <c r="T41" s="26"/>
    </row>
    <row r="42" spans="1:20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6"/>
      <c r="K42" s="24"/>
      <c r="L42" s="24"/>
      <c r="M42" s="24"/>
      <c r="N42" s="24"/>
      <c r="O42" s="24"/>
      <c r="P42" s="24"/>
      <c r="Q42" s="24"/>
      <c r="R42" s="24"/>
      <c r="S42" s="24"/>
      <c r="T42" s="26"/>
    </row>
    <row r="43" spans="1:2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6"/>
      <c r="K43" s="24"/>
      <c r="L43" s="24"/>
      <c r="M43" s="24"/>
      <c r="N43" s="24"/>
      <c r="O43" s="24"/>
      <c r="P43" s="24"/>
      <c r="Q43" s="24"/>
      <c r="R43" s="24"/>
      <c r="S43" s="24"/>
      <c r="T43" s="26"/>
    </row>
    <row r="44" spans="1:20" x14ac:dyDescent="0.25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6"/>
      <c r="K44" s="24" t="s">
        <v>76</v>
      </c>
      <c r="L44" s="24"/>
      <c r="M44" s="24"/>
      <c r="N44" s="24"/>
      <c r="O44" s="24"/>
      <c r="P44" s="24"/>
      <c r="Q44" s="24"/>
      <c r="R44" s="24"/>
      <c r="S44" s="24"/>
      <c r="T44" s="26"/>
    </row>
    <row r="45" spans="1:2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6"/>
      <c r="K45" s="24"/>
      <c r="L45" s="24"/>
      <c r="M45" s="24"/>
      <c r="N45" s="24"/>
      <c r="O45" s="24"/>
      <c r="P45" s="24"/>
      <c r="Q45" s="24"/>
      <c r="R45" s="24"/>
      <c r="S45" s="24"/>
      <c r="T45" s="26"/>
    </row>
    <row r="46" spans="1:20" x14ac:dyDescent="0.25">
      <c r="A46" s="28" t="s">
        <v>69</v>
      </c>
      <c r="B46" s="66">
        <v>4.0999999999999999E-4</v>
      </c>
      <c r="C46" s="65" t="s">
        <v>70</v>
      </c>
      <c r="D46" s="112">
        <f>B13</f>
        <v>0</v>
      </c>
      <c r="E46" s="65" t="s">
        <v>126</v>
      </c>
      <c r="F46" s="66">
        <v>0.13800000000000001</v>
      </c>
      <c r="G46" s="65" t="s">
        <v>86</v>
      </c>
      <c r="H46" s="66">
        <v>1</v>
      </c>
      <c r="I46" s="174" t="s">
        <v>72</v>
      </c>
      <c r="J46" s="96"/>
      <c r="K46" s="28" t="s">
        <v>69</v>
      </c>
      <c r="L46" s="66">
        <v>4.0999999999999999E-4</v>
      </c>
      <c r="M46" s="65" t="s">
        <v>70</v>
      </c>
      <c r="N46" s="112">
        <f>L13</f>
        <v>0</v>
      </c>
      <c r="O46" s="65" t="s">
        <v>126</v>
      </c>
      <c r="P46" s="66">
        <v>0.13800000000000001</v>
      </c>
      <c r="Q46" s="65" t="s">
        <v>86</v>
      </c>
      <c r="R46" s="66">
        <v>1</v>
      </c>
      <c r="S46" s="174" t="s">
        <v>72</v>
      </c>
      <c r="T46" s="96"/>
    </row>
    <row r="47" spans="1:20" x14ac:dyDescent="0.25">
      <c r="A47" s="24"/>
      <c r="C47" s="119" t="s">
        <v>86</v>
      </c>
      <c r="D47" s="118"/>
      <c r="E47" s="119" t="s">
        <v>279</v>
      </c>
      <c r="F47" s="118"/>
      <c r="G47" s="119" t="s">
        <v>71</v>
      </c>
      <c r="H47" s="56">
        <v>2000</v>
      </c>
      <c r="I47" s="24" t="s">
        <v>70</v>
      </c>
      <c r="J47" s="96"/>
      <c r="K47" s="24"/>
      <c r="L47" s="118"/>
      <c r="M47" s="119" t="s">
        <v>86</v>
      </c>
      <c r="N47" s="118"/>
      <c r="O47" s="119" t="s">
        <v>279</v>
      </c>
      <c r="P47" s="118"/>
      <c r="Q47" s="119" t="s">
        <v>71</v>
      </c>
      <c r="R47" s="56">
        <v>2000</v>
      </c>
      <c r="S47" s="24" t="s">
        <v>70</v>
      </c>
      <c r="T47" s="96"/>
    </row>
    <row r="48" spans="1:20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6"/>
      <c r="K48" s="24"/>
      <c r="L48" s="24"/>
      <c r="M48" s="24"/>
      <c r="N48" s="24"/>
      <c r="O48" s="24"/>
      <c r="P48" s="24"/>
      <c r="Q48" s="24"/>
      <c r="R48" s="24"/>
      <c r="S48" s="24"/>
      <c r="T48" s="26"/>
    </row>
    <row r="49" spans="1:20" x14ac:dyDescent="0.25">
      <c r="A49" s="28" t="s">
        <v>69</v>
      </c>
      <c r="B49" s="189">
        <f>(B46*D46*F46)/H47</f>
        <v>0</v>
      </c>
      <c r="C49" s="29" t="s">
        <v>72</v>
      </c>
      <c r="D49" s="24"/>
      <c r="E49" s="24"/>
      <c r="F49" s="24"/>
      <c r="G49" s="24"/>
      <c r="H49" s="24"/>
      <c r="I49" s="24"/>
      <c r="J49" s="26"/>
      <c r="K49" s="28" t="s">
        <v>69</v>
      </c>
      <c r="L49" s="189">
        <f>(L46*N46*P46)/R47</f>
        <v>0</v>
      </c>
      <c r="M49" s="29" t="s">
        <v>72</v>
      </c>
      <c r="N49" s="24"/>
      <c r="O49" s="24"/>
      <c r="P49" s="24"/>
      <c r="Q49" s="24"/>
      <c r="R49" s="24"/>
      <c r="S49" s="24"/>
      <c r="T49" s="26"/>
    </row>
    <row r="50" spans="1:20" x14ac:dyDescent="0.25">
      <c r="A50" s="24"/>
      <c r="B50" s="24"/>
      <c r="C50" s="26" t="s">
        <v>279</v>
      </c>
      <c r="D50" s="24"/>
      <c r="E50" s="24"/>
      <c r="F50" s="24"/>
      <c r="G50" s="24"/>
      <c r="H50" s="24"/>
      <c r="I50" s="24"/>
      <c r="J50" s="26"/>
      <c r="K50" s="24"/>
      <c r="L50" s="24"/>
      <c r="M50" s="26" t="s">
        <v>279</v>
      </c>
      <c r="N50" s="24"/>
      <c r="O50" s="24"/>
      <c r="P50" s="24"/>
      <c r="Q50" s="24"/>
      <c r="R50" s="24"/>
      <c r="S50" s="24"/>
      <c r="T50" s="26"/>
    </row>
    <row r="51" spans="1:20" x14ac:dyDescent="0.25">
      <c r="A51" s="24"/>
      <c r="B51" s="24"/>
      <c r="C51" s="26"/>
      <c r="D51" s="24"/>
      <c r="E51" s="24"/>
      <c r="F51" s="24"/>
      <c r="G51" s="24"/>
      <c r="H51" s="24"/>
      <c r="I51" s="24"/>
      <c r="J51" s="26"/>
      <c r="K51" s="24"/>
      <c r="L51" s="24"/>
      <c r="M51" s="26"/>
      <c r="N51" s="24"/>
      <c r="O51" s="24"/>
      <c r="P51" s="24"/>
      <c r="Q51" s="24"/>
      <c r="R51" s="24"/>
      <c r="S51" s="24"/>
      <c r="T51" s="26"/>
    </row>
    <row r="52" spans="1:20" x14ac:dyDescent="0.25">
      <c r="A52" s="24"/>
      <c r="B52" s="24"/>
      <c r="C52" s="26"/>
      <c r="D52" s="24"/>
      <c r="E52" s="24"/>
      <c r="F52" s="24"/>
      <c r="G52" s="24"/>
      <c r="H52" s="24"/>
      <c r="I52" s="24"/>
      <c r="J52" s="26"/>
      <c r="K52" s="24"/>
      <c r="L52" s="24"/>
      <c r="M52" s="26"/>
      <c r="N52" s="24"/>
      <c r="O52" s="24"/>
      <c r="P52" s="24"/>
      <c r="Q52" s="24"/>
      <c r="R52" s="24"/>
      <c r="S52" s="24"/>
      <c r="T52" s="26"/>
    </row>
    <row r="53" spans="1:20" x14ac:dyDescent="0.25">
      <c r="A53" s="24"/>
      <c r="B53" s="24"/>
      <c r="C53" s="26"/>
      <c r="D53" s="24"/>
      <c r="E53" s="24"/>
      <c r="F53" s="24"/>
      <c r="G53" s="24"/>
      <c r="H53" s="24"/>
      <c r="I53" s="24"/>
      <c r="J53" s="26"/>
      <c r="K53" s="24"/>
      <c r="L53" s="24"/>
      <c r="M53" s="26"/>
      <c r="N53" s="24"/>
      <c r="O53" s="24"/>
      <c r="P53" s="24"/>
      <c r="Q53" s="24"/>
      <c r="R53" s="24"/>
      <c r="S53" s="24"/>
      <c r="T53" s="26"/>
    </row>
    <row r="54" spans="1:20" x14ac:dyDescent="0.25">
      <c r="A54" s="24"/>
      <c r="B54" s="24"/>
      <c r="C54" s="26"/>
      <c r="D54" s="24"/>
      <c r="E54" s="24"/>
      <c r="F54" s="24"/>
      <c r="G54" s="24"/>
      <c r="H54" s="24"/>
      <c r="I54" s="24"/>
      <c r="J54" s="26"/>
      <c r="K54" s="24"/>
      <c r="L54" s="24"/>
      <c r="M54" s="26"/>
      <c r="N54" s="24"/>
      <c r="O54" s="24"/>
      <c r="P54" s="24"/>
      <c r="Q54" s="24"/>
      <c r="R54" s="24"/>
      <c r="S54" s="24"/>
      <c r="T54" s="26"/>
    </row>
    <row r="55" spans="1:2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6"/>
      <c r="K55" s="24"/>
      <c r="L55" s="24"/>
      <c r="M55" s="24"/>
      <c r="N55" s="24"/>
      <c r="O55" s="24"/>
      <c r="P55" s="24"/>
      <c r="Q55" s="24"/>
      <c r="R55" s="24"/>
      <c r="S55" s="24"/>
      <c r="T55" s="26"/>
    </row>
    <row r="56" spans="1:20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6"/>
      <c r="K56" s="24"/>
      <c r="L56" s="24"/>
      <c r="M56" s="24"/>
      <c r="N56" s="24"/>
      <c r="O56" s="24"/>
      <c r="P56" s="24"/>
      <c r="Q56" s="24"/>
      <c r="R56" s="24"/>
      <c r="S56" s="24"/>
      <c r="T56" s="26"/>
    </row>
    <row r="57" spans="1:20" x14ac:dyDescent="0.25">
      <c r="A57" s="24" t="s">
        <v>77</v>
      </c>
      <c r="B57" s="24"/>
      <c r="C57" s="24"/>
      <c r="D57" s="24"/>
      <c r="E57" s="24"/>
      <c r="F57" s="24"/>
      <c r="G57" s="24"/>
      <c r="H57" s="24"/>
      <c r="I57" s="24"/>
      <c r="J57" s="26"/>
      <c r="K57" s="24" t="s">
        <v>77</v>
      </c>
      <c r="L57" s="24"/>
      <c r="M57" s="24"/>
      <c r="N57" s="24"/>
      <c r="O57" s="24"/>
      <c r="P57" s="24"/>
      <c r="Q57" s="24"/>
      <c r="R57" s="24"/>
      <c r="S57" s="24"/>
      <c r="T57" s="26"/>
    </row>
    <row r="58" spans="1:20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6"/>
      <c r="K58" s="24"/>
      <c r="L58" s="24"/>
      <c r="M58" s="24"/>
      <c r="N58" s="24"/>
      <c r="O58" s="24"/>
      <c r="P58" s="24"/>
      <c r="Q58" s="24"/>
      <c r="R58" s="24"/>
      <c r="S58" s="24"/>
      <c r="T58" s="26"/>
    </row>
    <row r="59" spans="1:20" x14ac:dyDescent="0.25">
      <c r="A59" s="28" t="s">
        <v>69</v>
      </c>
      <c r="B59" s="66">
        <v>3.3E-3</v>
      </c>
      <c r="C59" s="65" t="s">
        <v>70</v>
      </c>
      <c r="D59" s="112">
        <f>B13</f>
        <v>0</v>
      </c>
      <c r="E59" s="65" t="s">
        <v>126</v>
      </c>
      <c r="F59" s="66">
        <v>0.13800000000000001</v>
      </c>
      <c r="G59" s="65" t="s">
        <v>86</v>
      </c>
      <c r="H59" s="66">
        <v>1</v>
      </c>
      <c r="I59" s="174" t="s">
        <v>72</v>
      </c>
      <c r="J59" s="96"/>
      <c r="K59" s="28" t="s">
        <v>69</v>
      </c>
      <c r="L59" s="66">
        <v>3.3E-3</v>
      </c>
      <c r="M59" s="65" t="s">
        <v>70</v>
      </c>
      <c r="N59" s="112">
        <f>L13</f>
        <v>0</v>
      </c>
      <c r="O59" s="65" t="s">
        <v>126</v>
      </c>
      <c r="P59" s="66">
        <v>0.13800000000000001</v>
      </c>
      <c r="Q59" s="65" t="s">
        <v>86</v>
      </c>
      <c r="R59" s="66">
        <v>1</v>
      </c>
      <c r="S59" s="174" t="s">
        <v>72</v>
      </c>
      <c r="T59" s="96"/>
    </row>
    <row r="60" spans="1:20" x14ac:dyDescent="0.25">
      <c r="A60" s="24"/>
      <c r="B60" s="118"/>
      <c r="C60" s="119" t="s">
        <v>86</v>
      </c>
      <c r="D60" s="118"/>
      <c r="E60" s="119" t="s">
        <v>279</v>
      </c>
      <c r="F60" s="118"/>
      <c r="G60" s="119" t="s">
        <v>71</v>
      </c>
      <c r="H60" s="56">
        <v>2000</v>
      </c>
      <c r="I60" s="24" t="s">
        <v>70</v>
      </c>
      <c r="J60" s="96"/>
      <c r="K60" s="24"/>
      <c r="L60" s="118"/>
      <c r="M60" s="119" t="s">
        <v>86</v>
      </c>
      <c r="N60" s="118"/>
      <c r="O60" s="119" t="s">
        <v>279</v>
      </c>
      <c r="P60" s="118"/>
      <c r="Q60" s="119" t="s">
        <v>71</v>
      </c>
      <c r="R60" s="56">
        <v>2000</v>
      </c>
      <c r="S60" s="24" t="s">
        <v>70</v>
      </c>
      <c r="T60" s="96"/>
    </row>
    <row r="61" spans="1:20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6"/>
      <c r="K61" s="24"/>
      <c r="L61" s="24"/>
      <c r="M61" s="24"/>
      <c r="N61" s="24"/>
      <c r="O61" s="24"/>
      <c r="P61" s="24"/>
      <c r="Q61" s="24"/>
      <c r="R61" s="24"/>
      <c r="S61" s="24"/>
      <c r="T61" s="26"/>
    </row>
    <row r="62" spans="1:20" x14ac:dyDescent="0.25">
      <c r="A62" s="28" t="s">
        <v>69</v>
      </c>
      <c r="B62" s="189">
        <f>(B59*D59*F59)/H60</f>
        <v>0</v>
      </c>
      <c r="C62" s="29" t="s">
        <v>72</v>
      </c>
      <c r="D62" s="24"/>
      <c r="E62" s="24"/>
      <c r="F62" s="24"/>
      <c r="G62" s="24"/>
      <c r="H62" s="24"/>
      <c r="I62" s="24"/>
      <c r="J62" s="26"/>
      <c r="K62" s="28" t="s">
        <v>69</v>
      </c>
      <c r="L62" s="189">
        <f>(L59*N59*P59)/R60</f>
        <v>0</v>
      </c>
      <c r="M62" s="29" t="s">
        <v>72</v>
      </c>
      <c r="N62" s="24"/>
      <c r="O62" s="24"/>
      <c r="P62" s="24"/>
      <c r="Q62" s="24"/>
      <c r="R62" s="24"/>
      <c r="S62" s="24"/>
      <c r="T62" s="26"/>
    </row>
    <row r="63" spans="1:20" x14ac:dyDescent="0.25">
      <c r="A63" s="24"/>
      <c r="B63" s="24"/>
      <c r="C63" s="26" t="s">
        <v>279</v>
      </c>
      <c r="D63" s="24"/>
      <c r="E63" s="24"/>
      <c r="F63" s="24"/>
      <c r="G63" s="24"/>
      <c r="H63" s="24"/>
      <c r="I63" s="24"/>
      <c r="J63" s="26"/>
      <c r="K63" s="24"/>
      <c r="L63" s="24"/>
      <c r="M63" s="26" t="s">
        <v>279</v>
      </c>
      <c r="N63" s="24"/>
      <c r="O63" s="24"/>
      <c r="P63" s="24"/>
      <c r="Q63" s="24"/>
      <c r="R63" s="24"/>
      <c r="S63" s="24"/>
      <c r="T63" s="26"/>
    </row>
    <row r="64" spans="1:20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6"/>
      <c r="K64" s="24"/>
      <c r="L64" s="24"/>
      <c r="M64" s="24"/>
      <c r="N64" s="24"/>
      <c r="O64" s="24"/>
      <c r="P64" s="24"/>
      <c r="Q64" s="24"/>
      <c r="R64" s="24"/>
      <c r="S64" s="24"/>
      <c r="T64" s="26"/>
    </row>
    <row r="65" spans="1:20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6"/>
      <c r="K65" s="24"/>
      <c r="L65" s="24"/>
      <c r="M65" s="24"/>
      <c r="N65" s="24"/>
      <c r="O65" s="24"/>
      <c r="P65" s="24"/>
      <c r="Q65" s="24"/>
      <c r="R65" s="24"/>
      <c r="S65" s="24"/>
      <c r="T65" s="26"/>
    </row>
    <row r="66" spans="1:20" x14ac:dyDescent="0.25">
      <c r="A66" s="24" t="s">
        <v>78</v>
      </c>
      <c r="B66" s="24"/>
      <c r="C66" s="24"/>
      <c r="D66" s="24"/>
      <c r="E66" s="24"/>
      <c r="F66" s="24"/>
      <c r="G66" s="24"/>
      <c r="H66" s="24"/>
      <c r="I66" s="24"/>
      <c r="J66" s="26"/>
      <c r="K66" s="24" t="s">
        <v>78</v>
      </c>
      <c r="L66" s="24"/>
      <c r="M66" s="24"/>
      <c r="N66" s="24"/>
      <c r="O66" s="24"/>
      <c r="P66" s="24"/>
      <c r="Q66" s="24"/>
      <c r="R66" s="24"/>
      <c r="S66" s="24"/>
      <c r="T66" s="26"/>
    </row>
    <row r="67" spans="1:20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6"/>
      <c r="K67" s="24"/>
      <c r="L67" s="24"/>
      <c r="M67" s="24"/>
      <c r="N67" s="24"/>
      <c r="O67" s="24"/>
      <c r="P67" s="24"/>
      <c r="Q67" s="24"/>
      <c r="R67" s="24"/>
      <c r="S67" s="24"/>
      <c r="T67" s="26"/>
    </row>
    <row r="68" spans="1:20" x14ac:dyDescent="0.25">
      <c r="A68" s="28" t="s">
        <v>69</v>
      </c>
      <c r="B68" s="66">
        <v>1.4E-5</v>
      </c>
      <c r="C68" s="65" t="s">
        <v>70</v>
      </c>
      <c r="D68" s="112">
        <f>B13</f>
        <v>0</v>
      </c>
      <c r="E68" s="65" t="s">
        <v>126</v>
      </c>
      <c r="F68" s="66">
        <v>0.13800000000000001</v>
      </c>
      <c r="G68" s="65" t="s">
        <v>86</v>
      </c>
      <c r="H68" s="66">
        <v>1</v>
      </c>
      <c r="I68" s="174" t="s">
        <v>72</v>
      </c>
      <c r="J68" s="96"/>
      <c r="K68" s="28" t="s">
        <v>69</v>
      </c>
      <c r="L68" s="66">
        <v>1.4E-5</v>
      </c>
      <c r="M68" s="65" t="s">
        <v>70</v>
      </c>
      <c r="N68" s="112">
        <f>L13</f>
        <v>0</v>
      </c>
      <c r="O68" s="65" t="s">
        <v>126</v>
      </c>
      <c r="P68" s="66">
        <v>0.13800000000000001</v>
      </c>
      <c r="Q68" s="65" t="s">
        <v>86</v>
      </c>
      <c r="R68" s="66">
        <v>1</v>
      </c>
      <c r="S68" s="174" t="s">
        <v>72</v>
      </c>
      <c r="T68" s="96"/>
    </row>
    <row r="69" spans="1:20" x14ac:dyDescent="0.25">
      <c r="A69" s="24"/>
      <c r="B69" s="118"/>
      <c r="C69" s="119" t="s">
        <v>86</v>
      </c>
      <c r="D69" s="118"/>
      <c r="E69" s="119" t="s">
        <v>279</v>
      </c>
      <c r="F69" s="118"/>
      <c r="G69" s="119" t="s">
        <v>71</v>
      </c>
      <c r="H69" s="56">
        <v>2000</v>
      </c>
      <c r="I69" s="24" t="s">
        <v>70</v>
      </c>
      <c r="J69" s="96"/>
      <c r="K69" s="24"/>
      <c r="L69" s="118"/>
      <c r="M69" s="119" t="s">
        <v>86</v>
      </c>
      <c r="N69" s="118"/>
      <c r="O69" s="119" t="s">
        <v>279</v>
      </c>
      <c r="P69" s="118"/>
      <c r="Q69" s="119" t="s">
        <v>71</v>
      </c>
      <c r="R69" s="56">
        <v>2000</v>
      </c>
      <c r="S69" s="24" t="s">
        <v>70</v>
      </c>
      <c r="T69" s="96"/>
    </row>
    <row r="71" spans="1:20" x14ac:dyDescent="0.25">
      <c r="A71" s="28" t="s">
        <v>69</v>
      </c>
      <c r="B71" s="189">
        <f>(B68*D68*F68)/H69</f>
        <v>0</v>
      </c>
      <c r="C71" s="29" t="s">
        <v>72</v>
      </c>
      <c r="D71" s="24"/>
      <c r="E71" s="24"/>
      <c r="F71" s="24"/>
      <c r="G71" s="24"/>
      <c r="H71" s="24"/>
      <c r="I71" s="24"/>
      <c r="J71" s="24"/>
      <c r="K71" s="28" t="s">
        <v>69</v>
      </c>
      <c r="L71" s="189">
        <f>(L68*N68*P68)/R69</f>
        <v>0</v>
      </c>
      <c r="M71" s="29" t="s">
        <v>72</v>
      </c>
      <c r="N71" s="24"/>
      <c r="O71" s="24"/>
      <c r="P71" s="24"/>
      <c r="Q71" s="24"/>
      <c r="R71" s="24"/>
      <c r="S71" s="24"/>
      <c r="T71" s="24"/>
    </row>
    <row r="72" spans="1:20" x14ac:dyDescent="0.25">
      <c r="A72" s="24"/>
      <c r="B72" s="24"/>
      <c r="C72" s="26" t="s">
        <v>279</v>
      </c>
      <c r="D72" s="24"/>
      <c r="E72" s="24"/>
      <c r="F72" s="24"/>
      <c r="G72" s="24"/>
      <c r="H72" s="24"/>
      <c r="I72" s="24"/>
      <c r="J72" s="24"/>
      <c r="K72" s="24"/>
      <c r="L72" s="24"/>
      <c r="M72" s="26" t="s">
        <v>279</v>
      </c>
      <c r="N72" s="24"/>
      <c r="O72" s="24"/>
      <c r="P72" s="24"/>
      <c r="Q72" s="24"/>
      <c r="R72" s="24"/>
      <c r="S72" s="24"/>
      <c r="T72" s="24"/>
    </row>
    <row r="75" spans="1:20" x14ac:dyDescent="0.25">
      <c r="A75" s="323" t="s">
        <v>334</v>
      </c>
      <c r="B75" s="24"/>
      <c r="C75" s="24"/>
      <c r="D75" s="24"/>
      <c r="E75" s="24"/>
      <c r="F75" s="24"/>
      <c r="G75" s="24"/>
      <c r="K75" s="323" t="s">
        <v>334</v>
      </c>
      <c r="L75" s="24"/>
      <c r="M75" s="24"/>
      <c r="N75" s="24"/>
      <c r="O75" s="24"/>
      <c r="P75" s="24"/>
      <c r="Q75" s="24"/>
    </row>
    <row r="77" spans="1:20" x14ac:dyDescent="0.25">
      <c r="A77" s="28" t="s">
        <v>69</v>
      </c>
      <c r="B77" s="490">
        <f>V14</f>
        <v>22.578420600240001</v>
      </c>
      <c r="C77" s="65" t="s">
        <v>70</v>
      </c>
      <c r="D77" s="95">
        <f>D68</f>
        <v>0</v>
      </c>
      <c r="E77" s="65" t="s">
        <v>71</v>
      </c>
      <c r="F77" s="97"/>
      <c r="G77" s="121" t="s">
        <v>72</v>
      </c>
      <c r="K77" s="28" t="s">
        <v>69</v>
      </c>
      <c r="L77" s="490">
        <f>V14</f>
        <v>22.578420600240001</v>
      </c>
      <c r="M77" s="65" t="s">
        <v>70</v>
      </c>
      <c r="N77" s="95">
        <f>N68</f>
        <v>0</v>
      </c>
      <c r="O77" s="65" t="s">
        <v>71</v>
      </c>
      <c r="P77" s="97"/>
      <c r="Q77" s="121" t="s">
        <v>72</v>
      </c>
    </row>
    <row r="78" spans="1:20" x14ac:dyDescent="0.25">
      <c r="A78" s="24"/>
      <c r="B78" s="120"/>
      <c r="C78" s="519" t="s">
        <v>71</v>
      </c>
      <c r="D78" s="96"/>
      <c r="E78" s="57" t="s">
        <v>279</v>
      </c>
      <c r="F78" s="56">
        <v>2000</v>
      </c>
      <c r="G78" s="115" t="s">
        <v>70</v>
      </c>
      <c r="K78" s="24"/>
      <c r="L78" s="120"/>
      <c r="M78" s="519" t="s">
        <v>71</v>
      </c>
      <c r="N78" s="96"/>
      <c r="O78" s="57" t="s">
        <v>279</v>
      </c>
      <c r="P78" s="56">
        <v>2000</v>
      </c>
      <c r="Q78" s="115" t="s">
        <v>70</v>
      </c>
    </row>
    <row r="81" spans="1:17" x14ac:dyDescent="0.25">
      <c r="A81" s="28" t="s">
        <v>69</v>
      </c>
      <c r="B81" s="64">
        <f>B77*D77/F78</f>
        <v>0</v>
      </c>
      <c r="C81" s="29" t="s">
        <v>72</v>
      </c>
      <c r="D81" s="28" t="s">
        <v>69</v>
      </c>
      <c r="E81" s="64">
        <f>B81*(2000/8760)</f>
        <v>0</v>
      </c>
      <c r="F81" s="29" t="s">
        <v>70</v>
      </c>
      <c r="G81" s="24"/>
      <c r="K81" s="28" t="s">
        <v>69</v>
      </c>
      <c r="L81" s="64">
        <f>L77*N77/P78</f>
        <v>0</v>
      </c>
      <c r="M81" s="29" t="s">
        <v>72</v>
      </c>
      <c r="N81" s="28" t="s">
        <v>69</v>
      </c>
      <c r="O81" s="64">
        <f>L81*(2000/8760)</f>
        <v>0</v>
      </c>
      <c r="P81" s="29" t="s">
        <v>70</v>
      </c>
      <c r="Q81" s="24"/>
    </row>
    <row r="82" spans="1:17" x14ac:dyDescent="0.25">
      <c r="A82" s="24"/>
      <c r="B82" s="24"/>
      <c r="C82" s="26" t="s">
        <v>279</v>
      </c>
      <c r="D82" s="24"/>
      <c r="E82" s="24"/>
      <c r="F82" s="26" t="s">
        <v>128</v>
      </c>
      <c r="G82" s="24"/>
      <c r="K82" s="24"/>
      <c r="L82" s="24"/>
      <c r="M82" s="26" t="s">
        <v>279</v>
      </c>
      <c r="N82" s="24"/>
      <c r="O82" s="24"/>
      <c r="P82" s="26" t="s">
        <v>128</v>
      </c>
      <c r="Q82" s="24"/>
    </row>
  </sheetData>
  <mergeCells count="4">
    <mergeCell ref="K2:T2"/>
    <mergeCell ref="K4:L4"/>
    <mergeCell ref="A2:J2"/>
    <mergeCell ref="A4:B4"/>
  </mergeCells>
  <pageMargins left="0.7" right="0.7" top="0.75" bottom="0.75" header="0.3" footer="0.3"/>
  <pageSetup scale="90" fitToWidth="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A2:D30"/>
  <sheetViews>
    <sheetView workbookViewId="0">
      <selection activeCell="F16" sqref="F16"/>
    </sheetView>
  </sheetViews>
  <sheetFormatPr defaultRowHeight="15" x14ac:dyDescent="0.25"/>
  <cols>
    <col min="1" max="1" width="14.7109375" customWidth="1"/>
    <col min="2" max="2" width="12.85546875" customWidth="1"/>
    <col min="3" max="3" width="20.5703125" customWidth="1"/>
    <col min="4" max="4" width="25.140625" customWidth="1"/>
  </cols>
  <sheetData>
    <row r="2" spans="1:4" ht="15.75" x14ac:dyDescent="0.25">
      <c r="A2" s="903" t="s">
        <v>94</v>
      </c>
      <c r="B2" s="903"/>
      <c r="C2" s="903"/>
      <c r="D2" s="903"/>
    </row>
    <row r="3" spans="1:4" ht="15.75" x14ac:dyDescent="0.25">
      <c r="A3" s="50"/>
      <c r="B3" s="24"/>
      <c r="C3" s="24"/>
      <c r="D3" s="24"/>
    </row>
    <row r="4" spans="1:4" x14ac:dyDescent="0.25">
      <c r="A4" s="899" t="s">
        <v>95</v>
      </c>
      <c r="B4" s="899"/>
      <c r="C4" s="899"/>
      <c r="D4" s="899"/>
    </row>
    <row r="5" spans="1:4" x14ac:dyDescent="0.25">
      <c r="A5" s="899" t="s">
        <v>214</v>
      </c>
      <c r="B5" s="899"/>
      <c r="C5" s="899"/>
      <c r="D5" s="899"/>
    </row>
    <row r="6" spans="1:4" x14ac:dyDescent="0.25">
      <c r="A6" s="911" t="s">
        <v>368</v>
      </c>
      <c r="B6" s="899"/>
      <c r="C6" s="899"/>
      <c r="D6" s="899"/>
    </row>
    <row r="7" spans="1:4" x14ac:dyDescent="0.25">
      <c r="A7" s="26"/>
      <c r="B7" s="26"/>
      <c r="C7" s="26"/>
      <c r="D7" s="26"/>
    </row>
    <row r="8" spans="1:4" x14ac:dyDescent="0.25">
      <c r="A8" s="26"/>
      <c r="B8" s="26"/>
      <c r="C8" s="124" t="s">
        <v>397</v>
      </c>
      <c r="D8" s="26"/>
    </row>
    <row r="9" spans="1:4" ht="16.5" thickBot="1" x14ac:dyDescent="0.3">
      <c r="A9" s="51"/>
      <c r="B9" s="24"/>
      <c r="C9" s="24"/>
      <c r="D9" s="24"/>
    </row>
    <row r="10" spans="1:4" ht="15.75" thickTop="1" x14ac:dyDescent="0.25">
      <c r="A10" s="906" t="s">
        <v>139</v>
      </c>
      <c r="B10" s="907"/>
      <c r="C10" s="181" t="s">
        <v>98</v>
      </c>
      <c r="D10" s="182" t="s">
        <v>98</v>
      </c>
    </row>
    <row r="11" spans="1:4" ht="15.75" thickBot="1" x14ac:dyDescent="0.3">
      <c r="A11" s="949"/>
      <c r="B11" s="972"/>
      <c r="C11" s="183" t="s">
        <v>99</v>
      </c>
      <c r="D11" s="184" t="s">
        <v>215</v>
      </c>
    </row>
    <row r="12" spans="1:4" ht="16.5" thickTop="1" x14ac:dyDescent="0.25">
      <c r="A12" s="1016" t="s">
        <v>54</v>
      </c>
      <c r="B12" s="968"/>
      <c r="C12" s="178">
        <v>9.41</v>
      </c>
      <c r="D12" s="185">
        <f>'Cálculos Daguao'!B22+'Cálculos Daguao'!L22</f>
        <v>0</v>
      </c>
    </row>
    <row r="13" spans="1:4" ht="18.75" x14ac:dyDescent="0.25">
      <c r="A13" s="876" t="s">
        <v>185</v>
      </c>
      <c r="B13" s="876"/>
      <c r="C13" s="179">
        <v>395.87</v>
      </c>
      <c r="D13" s="186">
        <f>'Cálculos Daguao'!B31+'Cálculos Daguao'!L31</f>
        <v>0</v>
      </c>
    </row>
    <row r="14" spans="1:4" ht="18.75" x14ac:dyDescent="0.25">
      <c r="A14" s="876" t="s">
        <v>137</v>
      </c>
      <c r="B14" s="876"/>
      <c r="C14" s="179">
        <v>689.83</v>
      </c>
      <c r="D14" s="186">
        <f>'Cálculos Daguao'!B40+'Cálculos Daguao'!L40</f>
        <v>0</v>
      </c>
    </row>
    <row r="15" spans="1:4" ht="15.75" x14ac:dyDescent="0.25">
      <c r="A15" s="876" t="s">
        <v>59</v>
      </c>
      <c r="B15" s="876"/>
      <c r="C15" s="179">
        <v>0.32</v>
      </c>
      <c r="D15" s="186">
        <f>'Cálculos Daguao'!B49+'Cálculos Daguao'!L49</f>
        <v>0</v>
      </c>
    </row>
    <row r="16" spans="1:4" ht="18.75" x14ac:dyDescent="0.25">
      <c r="A16" s="876" t="s">
        <v>145</v>
      </c>
      <c r="B16" s="876"/>
      <c r="C16" s="178">
        <v>2.59</v>
      </c>
      <c r="D16" s="185">
        <f>'Cálculos Daguao'!B62+'Cálculos Daguao'!L62</f>
        <v>0</v>
      </c>
    </row>
    <row r="17" spans="1:4" ht="18.75" x14ac:dyDescent="0.25">
      <c r="A17" s="876" t="s">
        <v>136</v>
      </c>
      <c r="B17" s="876"/>
      <c r="C17" s="180">
        <v>1.0999999999999999E-2</v>
      </c>
      <c r="D17" s="192">
        <f>'Cálculos Daguao'!B71+'Cálculos Daguao'!L71</f>
        <v>0</v>
      </c>
    </row>
    <row r="18" spans="1:4" ht="18.75" x14ac:dyDescent="0.25">
      <c r="A18" s="876" t="s">
        <v>317</v>
      </c>
      <c r="B18" s="876"/>
      <c r="C18" s="74"/>
      <c r="D18" s="54">
        <f>'Cálculos Daguao'!B81+'Cálculos Daguao'!L81</f>
        <v>0</v>
      </c>
    </row>
    <row r="19" spans="1:4" ht="15.75" x14ac:dyDescent="0.25">
      <c r="A19" s="51"/>
      <c r="B19" s="24"/>
      <c r="C19" s="24"/>
      <c r="D19" s="24"/>
    </row>
    <row r="20" spans="1:4" ht="15.75" x14ac:dyDescent="0.25">
      <c r="A20" s="51" t="s">
        <v>103</v>
      </c>
      <c r="B20" s="24"/>
      <c r="C20" s="24"/>
      <c r="D20" s="24"/>
    </row>
    <row r="21" spans="1:4" ht="15.75" x14ac:dyDescent="0.25">
      <c r="A21" s="51" t="s">
        <v>104</v>
      </c>
      <c r="B21" s="24"/>
      <c r="C21" s="24"/>
      <c r="D21" s="24"/>
    </row>
    <row r="22" spans="1:4" ht="15.75" x14ac:dyDescent="0.25">
      <c r="A22" s="51" t="s">
        <v>105</v>
      </c>
      <c r="B22" s="24"/>
      <c r="C22" s="24"/>
      <c r="D22" s="24"/>
    </row>
    <row r="23" spans="1:4" ht="15.75" x14ac:dyDescent="0.25">
      <c r="A23" s="51" t="s">
        <v>106</v>
      </c>
      <c r="B23" s="24"/>
      <c r="C23" s="24"/>
      <c r="D23" s="24"/>
    </row>
    <row r="24" spans="1:4" ht="15.75" x14ac:dyDescent="0.25">
      <c r="A24" s="51"/>
      <c r="B24" s="24"/>
      <c r="C24" s="24"/>
      <c r="D24" s="24"/>
    </row>
    <row r="25" spans="1:4" ht="15.75" x14ac:dyDescent="0.25">
      <c r="A25" s="51" t="s">
        <v>107</v>
      </c>
      <c r="B25" s="24"/>
      <c r="C25" s="24"/>
      <c r="D25" s="24"/>
    </row>
    <row r="26" spans="1:4" ht="15.75" x14ac:dyDescent="0.25">
      <c r="A26" s="51"/>
      <c r="B26" s="24"/>
      <c r="C26" s="24"/>
      <c r="D26" s="24"/>
    </row>
    <row r="27" spans="1:4" ht="15.75" x14ac:dyDescent="0.25">
      <c r="A27" s="51" t="s">
        <v>108</v>
      </c>
      <c r="B27" s="24"/>
      <c r="C27" s="24"/>
      <c r="D27" s="24"/>
    </row>
    <row r="28" spans="1:4" ht="15.75" x14ac:dyDescent="0.25">
      <c r="A28" s="51" t="s">
        <v>109</v>
      </c>
      <c r="B28" s="24"/>
      <c r="C28" s="24"/>
      <c r="D28" s="24"/>
    </row>
    <row r="30" spans="1:4" ht="15.75" x14ac:dyDescent="0.25">
      <c r="A30" s="51" t="s">
        <v>312</v>
      </c>
    </row>
  </sheetData>
  <mergeCells count="12">
    <mergeCell ref="A18:B18"/>
    <mergeCell ref="A17:B17"/>
    <mergeCell ref="A12:B12"/>
    <mergeCell ref="A13:B13"/>
    <mergeCell ref="A14:B14"/>
    <mergeCell ref="A15:B15"/>
    <mergeCell ref="A16:B16"/>
    <mergeCell ref="A6:D6"/>
    <mergeCell ref="A5:D5"/>
    <mergeCell ref="A4:D4"/>
    <mergeCell ref="A2:D2"/>
    <mergeCell ref="A10:B1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A1:W73"/>
  <sheetViews>
    <sheetView workbookViewId="0">
      <selection activeCell="K1" sqref="K1:S1"/>
    </sheetView>
  </sheetViews>
  <sheetFormatPr defaultRowHeight="15" x14ac:dyDescent="0.25"/>
  <cols>
    <col min="1" max="1" width="11.5703125" customWidth="1"/>
    <col min="2" max="2" width="14.42578125" customWidth="1"/>
    <col min="4" max="4" width="9.7109375" bestFit="1" customWidth="1"/>
    <col min="11" max="11" width="11.85546875" customWidth="1"/>
    <col min="12" max="12" width="12" customWidth="1"/>
    <col min="14" max="14" width="9.7109375" bestFit="1" customWidth="1"/>
  </cols>
  <sheetData>
    <row r="1" spans="1:23" x14ac:dyDescent="0.25">
      <c r="A1" s="893" t="s">
        <v>414</v>
      </c>
      <c r="B1" s="893"/>
      <c r="C1" s="893"/>
      <c r="D1" s="893"/>
      <c r="E1" s="893"/>
      <c r="F1" s="893"/>
      <c r="G1" s="893"/>
      <c r="H1" s="893"/>
      <c r="I1" s="893"/>
      <c r="K1" s="893" t="s">
        <v>415</v>
      </c>
      <c r="L1" s="893"/>
      <c r="M1" s="893"/>
      <c r="N1" s="893"/>
      <c r="O1" s="893"/>
      <c r="P1" s="893"/>
      <c r="Q1" s="893"/>
      <c r="R1" s="893"/>
      <c r="S1" s="893"/>
    </row>
    <row r="2" spans="1:23" ht="15.75" thickBot="1" x14ac:dyDescent="0.3"/>
    <row r="3" spans="1:23" x14ac:dyDescent="0.25">
      <c r="A3" s="1021" t="s">
        <v>319</v>
      </c>
      <c r="B3" s="1022"/>
      <c r="C3" s="1022"/>
      <c r="D3" s="1023"/>
      <c r="K3" s="1021" t="s">
        <v>319</v>
      </c>
      <c r="L3" s="1022"/>
      <c r="M3" s="1022"/>
      <c r="N3" s="1023"/>
    </row>
    <row r="4" spans="1:23" ht="15.75" thickBot="1" x14ac:dyDescent="0.3">
      <c r="A4" s="1024" t="s">
        <v>218</v>
      </c>
      <c r="B4" s="1025"/>
      <c r="C4" s="1025"/>
      <c r="D4" s="1026"/>
      <c r="K4" s="1024" t="s">
        <v>218</v>
      </c>
      <c r="L4" s="1025"/>
      <c r="M4" s="1025"/>
      <c r="N4" s="1026"/>
    </row>
    <row r="5" spans="1:23" ht="18" x14ac:dyDescent="0.35">
      <c r="A5" s="221" t="s">
        <v>222</v>
      </c>
      <c r="B5" s="211">
        <v>1.2E-2</v>
      </c>
      <c r="C5" s="212" t="s">
        <v>219</v>
      </c>
      <c r="D5" s="213"/>
      <c r="K5" s="221" t="s">
        <v>222</v>
      </c>
      <c r="L5" s="211">
        <v>1.2E-2</v>
      </c>
      <c r="M5" s="212" t="s">
        <v>219</v>
      </c>
      <c r="N5" s="213"/>
    </row>
    <row r="6" spans="1:23" x14ac:dyDescent="0.25">
      <c r="A6" s="222" t="s">
        <v>56</v>
      </c>
      <c r="B6" s="214">
        <v>1.01</v>
      </c>
      <c r="C6" s="215" t="s">
        <v>220</v>
      </c>
      <c r="D6" s="216"/>
      <c r="K6" s="222" t="s">
        <v>56</v>
      </c>
      <c r="L6" s="214">
        <v>1.01</v>
      </c>
      <c r="M6" s="215" t="s">
        <v>220</v>
      </c>
      <c r="N6" s="216"/>
    </row>
    <row r="7" spans="1:23" x14ac:dyDescent="0.25">
      <c r="A7" s="222" t="s">
        <v>57</v>
      </c>
      <c r="B7" s="217">
        <v>0.88</v>
      </c>
      <c r="C7" s="215" t="s">
        <v>219</v>
      </c>
      <c r="D7" s="216"/>
      <c r="K7" s="222" t="s">
        <v>57</v>
      </c>
      <c r="L7" s="217">
        <v>0.88</v>
      </c>
      <c r="M7" s="215" t="s">
        <v>219</v>
      </c>
      <c r="N7" s="216"/>
    </row>
    <row r="8" spans="1:23" x14ac:dyDescent="0.25">
      <c r="A8" s="222" t="s">
        <v>59</v>
      </c>
      <c r="B8" s="217">
        <v>4.0999999999999999E-4</v>
      </c>
      <c r="C8" s="215" t="s">
        <v>219</v>
      </c>
      <c r="D8" s="216"/>
      <c r="K8" s="222" t="s">
        <v>59</v>
      </c>
      <c r="L8" s="217">
        <v>4.0999999999999999E-4</v>
      </c>
      <c r="M8" s="215" t="s">
        <v>219</v>
      </c>
      <c r="N8" s="216"/>
    </row>
    <row r="9" spans="1:23" x14ac:dyDescent="0.25">
      <c r="A9" s="222" t="s">
        <v>61</v>
      </c>
      <c r="B9" s="217">
        <v>3.3E-3</v>
      </c>
      <c r="C9" s="215" t="s">
        <v>219</v>
      </c>
      <c r="D9" s="216"/>
      <c r="K9" s="222" t="s">
        <v>61</v>
      </c>
      <c r="L9" s="217">
        <v>3.3E-3</v>
      </c>
      <c r="M9" s="215" t="s">
        <v>219</v>
      </c>
      <c r="N9" s="216"/>
    </row>
    <row r="10" spans="1:23" ht="15.75" thickBot="1" x14ac:dyDescent="0.3">
      <c r="A10" s="223" t="s">
        <v>63</v>
      </c>
      <c r="B10" s="218">
        <v>1.4E-5</v>
      </c>
      <c r="C10" s="219" t="s">
        <v>219</v>
      </c>
      <c r="D10" s="220"/>
      <c r="K10" s="223" t="s">
        <v>63</v>
      </c>
      <c r="L10" s="218">
        <v>1.4E-5</v>
      </c>
      <c r="M10" s="219" t="s">
        <v>219</v>
      </c>
      <c r="N10" s="220"/>
    </row>
    <row r="11" spans="1:23" ht="15.75" thickBot="1" x14ac:dyDescent="0.3">
      <c r="A11" s="516" t="s">
        <v>328</v>
      </c>
      <c r="B11" s="517" t="s">
        <v>337</v>
      </c>
      <c r="C11" s="518" t="s">
        <v>338</v>
      </c>
      <c r="D11" s="24"/>
      <c r="E11" s="24"/>
      <c r="F11" s="24"/>
      <c r="G11" s="24"/>
      <c r="H11" s="24"/>
      <c r="I11" s="24"/>
      <c r="K11" s="516" t="s">
        <v>328</v>
      </c>
      <c r="L11" s="517" t="s">
        <v>337</v>
      </c>
      <c r="M11" s="518" t="s">
        <v>338</v>
      </c>
    </row>
    <row r="13" spans="1:23" x14ac:dyDescent="0.25">
      <c r="A13" s="210" t="s">
        <v>115</v>
      </c>
      <c r="B13" s="193">
        <f>Turbinas!J7</f>
        <v>0</v>
      </c>
      <c r="C13" t="s">
        <v>268</v>
      </c>
      <c r="D13" s="1018" t="s">
        <v>221</v>
      </c>
      <c r="E13" s="1018"/>
      <c r="F13" s="1018"/>
      <c r="G13" s="1018"/>
      <c r="H13" s="1018"/>
      <c r="K13" s="210" t="s">
        <v>115</v>
      </c>
      <c r="L13" s="193">
        <f>Turbinas!K7</f>
        <v>0</v>
      </c>
      <c r="M13" t="s">
        <v>268</v>
      </c>
      <c r="N13" s="1018" t="s">
        <v>221</v>
      </c>
      <c r="O13" s="1018"/>
      <c r="P13" s="1018"/>
      <c r="Q13" s="1018"/>
      <c r="R13" s="1018"/>
    </row>
    <row r="14" spans="1:23" x14ac:dyDescent="0.25">
      <c r="A14" s="210" t="s">
        <v>130</v>
      </c>
      <c r="B14" s="193">
        <f>Turbinas!AE7</f>
        <v>0.01</v>
      </c>
      <c r="K14" s="210" t="s">
        <v>130</v>
      </c>
      <c r="L14" s="193">
        <f>Turbinas!AF7</f>
        <v>0.01</v>
      </c>
      <c r="V14">
        <f>(73.96+0.003*25+0.0006*298)*2.2046*0.138</f>
        <v>22.578420600240001</v>
      </c>
      <c r="W14" t="s">
        <v>329</v>
      </c>
    </row>
    <row r="16" spans="1:23" ht="18" x14ac:dyDescent="0.35">
      <c r="A16" s="210" t="s">
        <v>223</v>
      </c>
      <c r="K16" s="210" t="s">
        <v>223</v>
      </c>
    </row>
    <row r="18" spans="1:19" x14ac:dyDescent="0.25">
      <c r="A18" s="194" t="s">
        <v>69</v>
      </c>
      <c r="B18" s="195">
        <v>1.2E-2</v>
      </c>
      <c r="C18" s="196" t="s">
        <v>70</v>
      </c>
      <c r="D18" s="197">
        <f>B13</f>
        <v>0</v>
      </c>
      <c r="E18" s="196" t="s">
        <v>71</v>
      </c>
      <c r="F18" s="195">
        <v>0.13800000000000001</v>
      </c>
      <c r="G18" s="196" t="s">
        <v>86</v>
      </c>
      <c r="H18" s="1019" t="s">
        <v>72</v>
      </c>
      <c r="I18" s="1020"/>
      <c r="K18" s="194" t="s">
        <v>69</v>
      </c>
      <c r="L18" s="195">
        <v>1.2E-2</v>
      </c>
      <c r="M18" s="196" t="s">
        <v>70</v>
      </c>
      <c r="N18" s="197">
        <f>L13</f>
        <v>0</v>
      </c>
      <c r="O18" s="196" t="s">
        <v>71</v>
      </c>
      <c r="P18" s="195">
        <v>0.13800000000000001</v>
      </c>
      <c r="Q18" s="196" t="s">
        <v>86</v>
      </c>
      <c r="R18" s="1019" t="s">
        <v>72</v>
      </c>
      <c r="S18" s="1020"/>
    </row>
    <row r="19" spans="1:19" x14ac:dyDescent="0.25">
      <c r="B19" s="1017" t="s">
        <v>86</v>
      </c>
      <c r="C19" s="1018"/>
      <c r="D19" s="1017" t="s">
        <v>279</v>
      </c>
      <c r="E19" s="1018"/>
      <c r="F19" s="1017" t="s">
        <v>71</v>
      </c>
      <c r="G19" s="1018"/>
      <c r="H19" s="198">
        <v>2000</v>
      </c>
      <c r="I19" t="s">
        <v>70</v>
      </c>
      <c r="L19" s="1017" t="s">
        <v>86</v>
      </c>
      <c r="M19" s="1018"/>
      <c r="N19" s="1017" t="s">
        <v>279</v>
      </c>
      <c r="O19" s="1018"/>
      <c r="P19" s="1017" t="s">
        <v>71</v>
      </c>
      <c r="Q19" s="1018"/>
      <c r="R19" s="198">
        <v>2000</v>
      </c>
      <c r="S19" t="s">
        <v>70</v>
      </c>
    </row>
    <row r="21" spans="1:19" x14ac:dyDescent="0.25">
      <c r="A21" s="194" t="s">
        <v>69</v>
      </c>
      <c r="B21" s="207">
        <f>(B18*D18*F18)/H19</f>
        <v>0</v>
      </c>
      <c r="C21" s="200" t="s">
        <v>72</v>
      </c>
      <c r="D21" s="194" t="s">
        <v>69</v>
      </c>
      <c r="E21" s="207">
        <f>B21*2000/8760</f>
        <v>0</v>
      </c>
      <c r="F21" s="201" t="s">
        <v>70</v>
      </c>
      <c r="H21" s="202"/>
      <c r="K21" s="194" t="s">
        <v>69</v>
      </c>
      <c r="L21" s="207">
        <f>(L18*N18*P18)/R19</f>
        <v>0</v>
      </c>
      <c r="M21" s="200" t="s">
        <v>72</v>
      </c>
      <c r="N21" s="194" t="s">
        <v>69</v>
      </c>
      <c r="O21" s="207">
        <f>L21*2000/8760</f>
        <v>0</v>
      </c>
      <c r="P21" s="201" t="s">
        <v>70</v>
      </c>
      <c r="R21" s="202"/>
    </row>
    <row r="22" spans="1:19" x14ac:dyDescent="0.25">
      <c r="C22" s="203" t="s">
        <v>279</v>
      </c>
      <c r="F22" s="204" t="s">
        <v>128</v>
      </c>
      <c r="M22" s="203" t="s">
        <v>279</v>
      </c>
      <c r="P22" s="204" t="s">
        <v>128</v>
      </c>
    </row>
    <row r="24" spans="1:19" x14ac:dyDescent="0.25">
      <c r="A24" s="210" t="s">
        <v>74</v>
      </c>
      <c r="K24" s="210" t="s">
        <v>74</v>
      </c>
    </row>
    <row r="26" spans="1:19" x14ac:dyDescent="0.25">
      <c r="A26" s="194" t="s">
        <v>69</v>
      </c>
      <c r="B26" s="205">
        <f>(B6*B14)</f>
        <v>1.01E-2</v>
      </c>
      <c r="C26" s="196" t="s">
        <v>70</v>
      </c>
      <c r="D26" s="197">
        <f>B13</f>
        <v>0</v>
      </c>
      <c r="E26" s="196" t="s">
        <v>71</v>
      </c>
      <c r="F26" s="195">
        <v>0.13800000000000001</v>
      </c>
      <c r="G26" s="196" t="s">
        <v>86</v>
      </c>
      <c r="H26" s="1019" t="s">
        <v>72</v>
      </c>
      <c r="I26" s="1020"/>
      <c r="K26" s="194" t="s">
        <v>69</v>
      </c>
      <c r="L26" s="205">
        <f>L6*L14</f>
        <v>1.01E-2</v>
      </c>
      <c r="M26" s="196" t="s">
        <v>70</v>
      </c>
      <c r="N26" s="197">
        <f>L13</f>
        <v>0</v>
      </c>
      <c r="O26" s="196" t="s">
        <v>71</v>
      </c>
      <c r="P26" s="195">
        <v>0.13800000000000001</v>
      </c>
      <c r="Q26" s="196" t="s">
        <v>86</v>
      </c>
      <c r="R26" s="1019" t="s">
        <v>72</v>
      </c>
      <c r="S26" s="1020"/>
    </row>
    <row r="27" spans="1:19" x14ac:dyDescent="0.25">
      <c r="B27" s="1017" t="s">
        <v>86</v>
      </c>
      <c r="C27" s="1018"/>
      <c r="D27" s="1017" t="s">
        <v>279</v>
      </c>
      <c r="E27" s="1018"/>
      <c r="F27" s="1017" t="s">
        <v>71</v>
      </c>
      <c r="G27" s="1018"/>
      <c r="H27" s="198">
        <v>2000</v>
      </c>
      <c r="I27" t="s">
        <v>70</v>
      </c>
      <c r="L27" s="1017" t="s">
        <v>86</v>
      </c>
      <c r="M27" s="1018"/>
      <c r="N27" s="1017" t="s">
        <v>279</v>
      </c>
      <c r="O27" s="1018"/>
      <c r="P27" s="1017" t="s">
        <v>71</v>
      </c>
      <c r="Q27" s="1018"/>
      <c r="R27" s="198">
        <v>2000</v>
      </c>
      <c r="S27" t="s">
        <v>70</v>
      </c>
    </row>
    <row r="29" spans="1:19" x14ac:dyDescent="0.25">
      <c r="A29" s="194" t="s">
        <v>69</v>
      </c>
      <c r="B29" s="206">
        <f>(B26*D26*F26)/H27</f>
        <v>0</v>
      </c>
      <c r="C29" s="200" t="s">
        <v>72</v>
      </c>
      <c r="D29" s="194" t="s">
        <v>69</v>
      </c>
      <c r="E29" s="207">
        <f>B29*2000/8760</f>
        <v>0</v>
      </c>
      <c r="F29" s="201" t="s">
        <v>70</v>
      </c>
      <c r="H29" s="202"/>
      <c r="K29" s="194" t="s">
        <v>69</v>
      </c>
      <c r="L29" s="206">
        <f>(L26*N26*P26)/R27</f>
        <v>0</v>
      </c>
      <c r="M29" s="200" t="s">
        <v>72</v>
      </c>
      <c r="N29" s="194" t="s">
        <v>69</v>
      </c>
      <c r="O29" s="207">
        <f>L29*2000/8760</f>
        <v>0</v>
      </c>
      <c r="P29" s="201" t="s">
        <v>70</v>
      </c>
      <c r="R29" s="202"/>
    </row>
    <row r="30" spans="1:19" x14ac:dyDescent="0.25">
      <c r="C30" s="203" t="s">
        <v>279</v>
      </c>
      <c r="F30" s="204" t="s">
        <v>128</v>
      </c>
      <c r="M30" s="203" t="s">
        <v>279</v>
      </c>
      <c r="P30" s="204" t="s">
        <v>128</v>
      </c>
    </row>
    <row r="31" spans="1:19" x14ac:dyDescent="0.25">
      <c r="C31" s="203"/>
      <c r="F31" s="204"/>
      <c r="M31" s="203"/>
      <c r="P31" s="204"/>
    </row>
    <row r="32" spans="1:19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1:19" x14ac:dyDescent="0.25">
      <c r="A33" s="210" t="s">
        <v>75</v>
      </c>
      <c r="K33" s="210" t="s">
        <v>75</v>
      </c>
    </row>
    <row r="35" spans="1:19" x14ac:dyDescent="0.25">
      <c r="A35" s="194" t="s">
        <v>69</v>
      </c>
      <c r="B35" s="195">
        <v>0.88</v>
      </c>
      <c r="C35" s="196" t="s">
        <v>70</v>
      </c>
      <c r="D35" s="197">
        <f>B13</f>
        <v>0</v>
      </c>
      <c r="E35" s="196" t="s">
        <v>71</v>
      </c>
      <c r="F35" s="195">
        <v>0.13800000000000001</v>
      </c>
      <c r="G35" s="196" t="s">
        <v>86</v>
      </c>
      <c r="H35" s="1019" t="s">
        <v>72</v>
      </c>
      <c r="I35" s="1020"/>
      <c r="K35" s="194" t="s">
        <v>69</v>
      </c>
      <c r="L35" s="195">
        <v>0.88</v>
      </c>
      <c r="M35" s="196" t="s">
        <v>70</v>
      </c>
      <c r="N35" s="197">
        <f>L13</f>
        <v>0</v>
      </c>
      <c r="O35" s="196" t="s">
        <v>71</v>
      </c>
      <c r="P35" s="195">
        <v>0.13800000000000001</v>
      </c>
      <c r="Q35" s="196" t="s">
        <v>86</v>
      </c>
      <c r="R35" s="1019" t="s">
        <v>72</v>
      </c>
      <c r="S35" s="1020"/>
    </row>
    <row r="36" spans="1:19" x14ac:dyDescent="0.25">
      <c r="B36" s="1017" t="s">
        <v>86</v>
      </c>
      <c r="C36" s="1018"/>
      <c r="D36" s="1017" t="s">
        <v>279</v>
      </c>
      <c r="E36" s="1018"/>
      <c r="F36" s="1017" t="s">
        <v>71</v>
      </c>
      <c r="G36" s="1018"/>
      <c r="H36" s="198">
        <v>2000</v>
      </c>
      <c r="I36" t="s">
        <v>70</v>
      </c>
      <c r="L36" s="1017" t="s">
        <v>86</v>
      </c>
      <c r="M36" s="1018"/>
      <c r="N36" s="1017" t="s">
        <v>279</v>
      </c>
      <c r="O36" s="1018"/>
      <c r="P36" s="1017" t="s">
        <v>71</v>
      </c>
      <c r="Q36" s="1018"/>
      <c r="R36" s="198">
        <v>2000</v>
      </c>
      <c r="S36" t="s">
        <v>70</v>
      </c>
    </row>
    <row r="38" spans="1:19" x14ac:dyDescent="0.25">
      <c r="A38" s="194" t="s">
        <v>69</v>
      </c>
      <c r="B38" s="206">
        <f>(B35*D35*F35)/H36</f>
        <v>0</v>
      </c>
      <c r="C38" s="200" t="s">
        <v>72</v>
      </c>
      <c r="D38" s="194" t="s">
        <v>69</v>
      </c>
      <c r="E38" s="206">
        <f>B38*2000/8760</f>
        <v>0</v>
      </c>
      <c r="F38" s="201" t="s">
        <v>70</v>
      </c>
      <c r="H38" s="202"/>
      <c r="K38" s="194" t="s">
        <v>69</v>
      </c>
      <c r="L38" s="206">
        <f>(L35*N35*P35)/R36</f>
        <v>0</v>
      </c>
      <c r="M38" s="200" t="s">
        <v>72</v>
      </c>
      <c r="N38" s="194" t="s">
        <v>69</v>
      </c>
      <c r="O38" s="206">
        <f>L38*2000/8760</f>
        <v>0</v>
      </c>
      <c r="P38" s="201" t="s">
        <v>70</v>
      </c>
      <c r="R38" s="202"/>
    </row>
    <row r="39" spans="1:19" x14ac:dyDescent="0.25">
      <c r="C39" s="203" t="s">
        <v>279</v>
      </c>
      <c r="F39" s="204" t="s">
        <v>128</v>
      </c>
      <c r="M39" s="203" t="s">
        <v>279</v>
      </c>
      <c r="P39" s="204" t="s">
        <v>128</v>
      </c>
    </row>
    <row r="40" spans="1:19" x14ac:dyDescent="0.25">
      <c r="C40" s="203"/>
      <c r="D40" s="194"/>
      <c r="E40" s="199"/>
      <c r="F40" s="204"/>
      <c r="H40" s="202"/>
      <c r="M40" s="203"/>
      <c r="N40" s="194"/>
      <c r="O40" s="199"/>
      <c r="P40" s="204"/>
      <c r="R40" s="202"/>
    </row>
    <row r="41" spans="1:19" x14ac:dyDescent="0.25">
      <c r="A41" s="210" t="s">
        <v>76</v>
      </c>
      <c r="K41" s="210" t="s">
        <v>76</v>
      </c>
    </row>
    <row r="43" spans="1:19" x14ac:dyDescent="0.25">
      <c r="A43" s="194" t="s">
        <v>69</v>
      </c>
      <c r="B43" s="195">
        <v>4.0999999999999999E-4</v>
      </c>
      <c r="C43" s="196" t="s">
        <v>70</v>
      </c>
      <c r="D43" s="197">
        <f>B13</f>
        <v>0</v>
      </c>
      <c r="E43" s="196" t="s">
        <v>71</v>
      </c>
      <c r="F43" s="195">
        <v>0.13800000000000001</v>
      </c>
      <c r="G43" s="196" t="s">
        <v>86</v>
      </c>
      <c r="H43" s="1019" t="s">
        <v>72</v>
      </c>
      <c r="I43" s="1020"/>
      <c r="K43" s="194" t="s">
        <v>69</v>
      </c>
      <c r="L43" s="195">
        <v>4.0999999999999999E-4</v>
      </c>
      <c r="M43" s="196" t="s">
        <v>70</v>
      </c>
      <c r="N43" s="197">
        <f>L13</f>
        <v>0</v>
      </c>
      <c r="O43" s="196" t="s">
        <v>71</v>
      </c>
      <c r="P43" s="195">
        <v>0.13800000000000001</v>
      </c>
      <c r="Q43" s="196" t="s">
        <v>86</v>
      </c>
      <c r="R43" s="1019" t="s">
        <v>72</v>
      </c>
      <c r="S43" s="1020"/>
    </row>
    <row r="44" spans="1:19" x14ac:dyDescent="0.25">
      <c r="B44" s="1017" t="s">
        <v>86</v>
      </c>
      <c r="C44" s="1018"/>
      <c r="D44" s="1017" t="s">
        <v>279</v>
      </c>
      <c r="E44" s="1018"/>
      <c r="F44" s="1017" t="s">
        <v>71</v>
      </c>
      <c r="G44" s="1018"/>
      <c r="H44" s="198">
        <v>2000</v>
      </c>
      <c r="I44" t="s">
        <v>70</v>
      </c>
      <c r="L44" s="1017" t="s">
        <v>86</v>
      </c>
      <c r="M44" s="1018"/>
      <c r="N44" s="1017" t="s">
        <v>279</v>
      </c>
      <c r="O44" s="1018"/>
      <c r="P44" s="1017" t="s">
        <v>71</v>
      </c>
      <c r="Q44" s="1018"/>
      <c r="R44" s="198">
        <v>2000</v>
      </c>
      <c r="S44" t="s">
        <v>70</v>
      </c>
    </row>
    <row r="46" spans="1:19" x14ac:dyDescent="0.25">
      <c r="A46" s="194" t="s">
        <v>69</v>
      </c>
      <c r="B46" s="207">
        <f>(B43*D43*F43)/H44</f>
        <v>0</v>
      </c>
      <c r="C46" s="200" t="s">
        <v>72</v>
      </c>
      <c r="D46" s="194" t="s">
        <v>69</v>
      </c>
      <c r="E46" s="207">
        <f>B46*(2000/8760)</f>
        <v>0</v>
      </c>
      <c r="F46" s="201" t="s">
        <v>70</v>
      </c>
      <c r="H46" s="202"/>
      <c r="K46" s="194" t="s">
        <v>69</v>
      </c>
      <c r="L46" s="207">
        <f>(L43*N43*P43)/R44</f>
        <v>0</v>
      </c>
      <c r="M46" s="200" t="s">
        <v>72</v>
      </c>
      <c r="N46" s="194" t="s">
        <v>69</v>
      </c>
      <c r="O46" s="207">
        <f>L46*2000/8760</f>
        <v>0</v>
      </c>
      <c r="P46" s="201" t="s">
        <v>70</v>
      </c>
      <c r="R46" s="202"/>
    </row>
    <row r="47" spans="1:19" x14ac:dyDescent="0.25">
      <c r="C47" s="203" t="s">
        <v>279</v>
      </c>
      <c r="F47" s="204" t="s">
        <v>128</v>
      </c>
      <c r="M47" s="203" t="s">
        <v>279</v>
      </c>
      <c r="P47" s="204" t="s">
        <v>128</v>
      </c>
    </row>
    <row r="48" spans="1:19" x14ac:dyDescent="0.25">
      <c r="D48" s="194"/>
      <c r="E48" s="199"/>
      <c r="F48" s="204"/>
      <c r="H48" s="202"/>
      <c r="N48" s="194"/>
      <c r="O48" s="199"/>
      <c r="P48" s="204"/>
      <c r="R48" s="202"/>
    </row>
    <row r="49" spans="1:19" x14ac:dyDescent="0.25">
      <c r="A49" s="210" t="s">
        <v>77</v>
      </c>
      <c r="D49" s="194"/>
      <c r="E49" s="199"/>
      <c r="H49" s="202"/>
      <c r="K49" s="210" t="s">
        <v>77</v>
      </c>
      <c r="N49" s="194"/>
      <c r="O49" s="199"/>
      <c r="R49" s="202"/>
    </row>
    <row r="51" spans="1:19" x14ac:dyDescent="0.25">
      <c r="A51" s="194" t="s">
        <v>69</v>
      </c>
      <c r="B51" s="195">
        <v>3.3E-3</v>
      </c>
      <c r="C51" s="196" t="s">
        <v>70</v>
      </c>
      <c r="D51" s="197">
        <f>B13</f>
        <v>0</v>
      </c>
      <c r="E51" s="196" t="s">
        <v>71</v>
      </c>
      <c r="F51" s="195">
        <v>0.13800000000000001</v>
      </c>
      <c r="G51" s="196" t="s">
        <v>86</v>
      </c>
      <c r="H51" s="1019" t="s">
        <v>72</v>
      </c>
      <c r="I51" s="1020"/>
      <c r="K51" s="194" t="s">
        <v>69</v>
      </c>
      <c r="L51" s="195">
        <v>3.3E-3</v>
      </c>
      <c r="M51" s="196" t="s">
        <v>70</v>
      </c>
      <c r="N51" s="197">
        <f>L13</f>
        <v>0</v>
      </c>
      <c r="O51" s="196" t="s">
        <v>71</v>
      </c>
      <c r="P51" s="195">
        <v>0.13800000000000001</v>
      </c>
      <c r="Q51" s="196" t="s">
        <v>86</v>
      </c>
      <c r="R51" s="1019" t="s">
        <v>72</v>
      </c>
      <c r="S51" s="1020"/>
    </row>
    <row r="52" spans="1:19" x14ac:dyDescent="0.25">
      <c r="B52" s="1017" t="s">
        <v>86</v>
      </c>
      <c r="C52" s="1018"/>
      <c r="D52" s="1017" t="s">
        <v>279</v>
      </c>
      <c r="E52" s="1018"/>
      <c r="F52" s="1017" t="s">
        <v>71</v>
      </c>
      <c r="G52" s="1018"/>
      <c r="H52" s="198">
        <v>2000</v>
      </c>
      <c r="I52" t="s">
        <v>70</v>
      </c>
      <c r="L52" s="1017" t="s">
        <v>86</v>
      </c>
      <c r="M52" s="1018"/>
      <c r="N52" s="1017" t="s">
        <v>279</v>
      </c>
      <c r="O52" s="1018"/>
      <c r="P52" s="1017" t="s">
        <v>71</v>
      </c>
      <c r="Q52" s="1018"/>
      <c r="R52" s="198">
        <v>2000</v>
      </c>
      <c r="S52" t="s">
        <v>70</v>
      </c>
    </row>
    <row r="54" spans="1:19" x14ac:dyDescent="0.25">
      <c r="A54" s="194" t="s">
        <v>69</v>
      </c>
      <c r="B54" s="207">
        <f>(B51*D51*F51)/H52</f>
        <v>0</v>
      </c>
      <c r="C54" s="200" t="s">
        <v>72</v>
      </c>
      <c r="D54" s="194" t="s">
        <v>69</v>
      </c>
      <c r="E54" s="207">
        <f>B54*2000/8760</f>
        <v>0</v>
      </c>
      <c r="F54" s="201" t="s">
        <v>70</v>
      </c>
      <c r="H54" s="202"/>
      <c r="K54" s="194" t="s">
        <v>69</v>
      </c>
      <c r="L54" s="207">
        <f>(L51*N51*P51)/R52</f>
        <v>0</v>
      </c>
      <c r="M54" s="200" t="s">
        <v>72</v>
      </c>
      <c r="N54" s="194" t="s">
        <v>69</v>
      </c>
      <c r="O54" s="207">
        <f>L54*2000/8760</f>
        <v>0</v>
      </c>
      <c r="P54" s="201" t="s">
        <v>70</v>
      </c>
      <c r="R54" s="202"/>
    </row>
    <row r="55" spans="1:19" x14ac:dyDescent="0.25">
      <c r="C55" s="203" t="s">
        <v>279</v>
      </c>
      <c r="F55" s="204" t="s">
        <v>128</v>
      </c>
      <c r="M55" s="203" t="s">
        <v>279</v>
      </c>
      <c r="P55" s="204" t="s">
        <v>128</v>
      </c>
    </row>
    <row r="56" spans="1:19" x14ac:dyDescent="0.25">
      <c r="A56" s="209"/>
      <c r="B56" s="209"/>
      <c r="C56" s="209"/>
      <c r="D56" s="209"/>
      <c r="E56" s="209"/>
      <c r="F56" s="209"/>
      <c r="G56" s="209"/>
      <c r="H56" s="209"/>
      <c r="I56" s="209"/>
      <c r="K56" s="209"/>
      <c r="L56" s="209"/>
      <c r="M56" s="209"/>
      <c r="N56" s="209"/>
      <c r="O56" s="209"/>
      <c r="P56" s="209"/>
      <c r="Q56" s="209"/>
      <c r="R56" s="209"/>
      <c r="S56" s="209"/>
    </row>
    <row r="57" spans="1:19" x14ac:dyDescent="0.25">
      <c r="A57" s="210" t="s">
        <v>78</v>
      </c>
      <c r="K57" s="210" t="s">
        <v>78</v>
      </c>
    </row>
    <row r="59" spans="1:19" x14ac:dyDescent="0.25">
      <c r="A59" s="194" t="s">
        <v>69</v>
      </c>
      <c r="B59" s="195">
        <v>1.4E-5</v>
      </c>
      <c r="C59" s="196" t="s">
        <v>70</v>
      </c>
      <c r="D59" s="197">
        <f>B13</f>
        <v>0</v>
      </c>
      <c r="E59" s="196" t="s">
        <v>71</v>
      </c>
      <c r="F59" s="195">
        <v>0.13800000000000001</v>
      </c>
      <c r="G59" s="196" t="s">
        <v>86</v>
      </c>
      <c r="H59" s="1019" t="s">
        <v>72</v>
      </c>
      <c r="I59" s="1020"/>
      <c r="K59" s="194" t="s">
        <v>69</v>
      </c>
      <c r="L59" s="195">
        <v>1.4E-5</v>
      </c>
      <c r="M59" s="196" t="s">
        <v>70</v>
      </c>
      <c r="N59" s="197">
        <f>L13</f>
        <v>0</v>
      </c>
      <c r="O59" s="196" t="s">
        <v>71</v>
      </c>
      <c r="P59" s="195">
        <v>0.13800000000000001</v>
      </c>
      <c r="Q59" s="196" t="s">
        <v>86</v>
      </c>
      <c r="R59" s="1019" t="s">
        <v>72</v>
      </c>
      <c r="S59" s="1020"/>
    </row>
    <row r="60" spans="1:19" x14ac:dyDescent="0.25">
      <c r="B60" s="1017" t="s">
        <v>86</v>
      </c>
      <c r="C60" s="1018"/>
      <c r="D60" s="1017" t="s">
        <v>279</v>
      </c>
      <c r="E60" s="1018"/>
      <c r="F60" s="1017" t="s">
        <v>71</v>
      </c>
      <c r="G60" s="1018"/>
      <c r="H60" s="198">
        <v>2000</v>
      </c>
      <c r="I60" t="s">
        <v>70</v>
      </c>
      <c r="L60" s="1017" t="s">
        <v>86</v>
      </c>
      <c r="M60" s="1018"/>
      <c r="N60" s="1017" t="s">
        <v>279</v>
      </c>
      <c r="O60" s="1018"/>
      <c r="P60" s="1017" t="s">
        <v>71</v>
      </c>
      <c r="Q60" s="1018"/>
      <c r="R60" s="198">
        <v>2000</v>
      </c>
      <c r="S60" t="s">
        <v>70</v>
      </c>
    </row>
    <row r="62" spans="1:19" x14ac:dyDescent="0.25">
      <c r="A62" s="194" t="s">
        <v>69</v>
      </c>
      <c r="B62" s="207">
        <f>(B59*D59*F59)/H60</f>
        <v>0</v>
      </c>
      <c r="C62" s="200" t="s">
        <v>72</v>
      </c>
      <c r="D62" s="194" t="s">
        <v>69</v>
      </c>
      <c r="E62" s="207">
        <f>B62*2000/8760</f>
        <v>0</v>
      </c>
      <c r="F62" s="201" t="s">
        <v>70</v>
      </c>
      <c r="H62" s="202"/>
      <c r="K62" s="194" t="s">
        <v>69</v>
      </c>
      <c r="L62" s="207">
        <f>(L59*N59*P59)/R60</f>
        <v>0</v>
      </c>
      <c r="M62" s="200" t="s">
        <v>72</v>
      </c>
      <c r="N62" s="194" t="s">
        <v>69</v>
      </c>
      <c r="O62" s="207">
        <f>L62*2000/8760</f>
        <v>0</v>
      </c>
      <c r="P62" s="201" t="s">
        <v>70</v>
      </c>
      <c r="R62" s="202"/>
    </row>
    <row r="63" spans="1:19" x14ac:dyDescent="0.25">
      <c r="A63" s="194"/>
      <c r="B63" s="208"/>
      <c r="C63" s="203" t="s">
        <v>279</v>
      </c>
      <c r="F63" s="204" t="s">
        <v>128</v>
      </c>
      <c r="K63" s="194"/>
      <c r="L63" s="208"/>
      <c r="M63" s="203" t="s">
        <v>279</v>
      </c>
      <c r="P63" s="204" t="s">
        <v>128</v>
      </c>
    </row>
    <row r="66" spans="1:17" x14ac:dyDescent="0.25">
      <c r="A66" s="323" t="s">
        <v>334</v>
      </c>
      <c r="B66" s="24"/>
      <c r="C66" s="24"/>
      <c r="D66" s="24"/>
      <c r="E66" s="24"/>
      <c r="F66" s="24"/>
      <c r="G66" s="24"/>
      <c r="K66" s="323" t="s">
        <v>334</v>
      </c>
      <c r="L66" s="24"/>
      <c r="M66" s="24"/>
      <c r="N66" s="24"/>
      <c r="O66" s="24"/>
      <c r="P66" s="24"/>
      <c r="Q66" s="24"/>
    </row>
    <row r="68" spans="1:17" x14ac:dyDescent="0.25">
      <c r="A68" s="28" t="s">
        <v>69</v>
      </c>
      <c r="B68" s="490">
        <f>V14</f>
        <v>22.578420600240001</v>
      </c>
      <c r="C68" s="65" t="s">
        <v>70</v>
      </c>
      <c r="D68" s="95">
        <f>D59</f>
        <v>0</v>
      </c>
      <c r="E68" s="65" t="s">
        <v>71</v>
      </c>
      <c r="F68" s="97"/>
      <c r="G68" s="121" t="s">
        <v>72</v>
      </c>
      <c r="K68" s="28" t="s">
        <v>69</v>
      </c>
      <c r="L68" s="490">
        <f>V14</f>
        <v>22.578420600240001</v>
      </c>
      <c r="M68" s="65" t="s">
        <v>70</v>
      </c>
      <c r="N68" s="95">
        <f>N59</f>
        <v>0</v>
      </c>
      <c r="O68" s="65" t="s">
        <v>71</v>
      </c>
      <c r="P68" s="97"/>
      <c r="Q68" s="121" t="s">
        <v>72</v>
      </c>
    </row>
    <row r="69" spans="1:17" x14ac:dyDescent="0.25">
      <c r="A69" s="24"/>
      <c r="B69" s="120"/>
      <c r="C69" s="519" t="s">
        <v>71</v>
      </c>
      <c r="D69" s="96"/>
      <c r="E69" s="57" t="s">
        <v>279</v>
      </c>
      <c r="F69" s="56">
        <v>2000</v>
      </c>
      <c r="G69" s="115" t="s">
        <v>70</v>
      </c>
      <c r="K69" s="24"/>
      <c r="L69" s="120"/>
      <c r="M69" s="519" t="s">
        <v>71</v>
      </c>
      <c r="N69" s="96"/>
      <c r="O69" s="57" t="s">
        <v>279</v>
      </c>
      <c r="P69" s="56">
        <v>2000</v>
      </c>
      <c r="Q69" s="115" t="s">
        <v>70</v>
      </c>
    </row>
    <row r="72" spans="1:17" x14ac:dyDescent="0.25">
      <c r="A72" s="28" t="s">
        <v>69</v>
      </c>
      <c r="B72" s="64">
        <f>B68*D68/F69</f>
        <v>0</v>
      </c>
      <c r="C72" s="29" t="s">
        <v>72</v>
      </c>
      <c r="D72" s="28" t="s">
        <v>69</v>
      </c>
      <c r="E72" s="64">
        <f>B72*(2000/8760)</f>
        <v>0</v>
      </c>
      <c r="F72" s="29" t="s">
        <v>70</v>
      </c>
      <c r="G72" s="24"/>
      <c r="K72" s="28" t="s">
        <v>69</v>
      </c>
      <c r="L72" s="64">
        <f>L68*N68/P69</f>
        <v>0</v>
      </c>
      <c r="M72" s="29" t="s">
        <v>72</v>
      </c>
      <c r="N72" s="28" t="s">
        <v>69</v>
      </c>
      <c r="O72" s="64">
        <f>L72*(2000/8760)</f>
        <v>0</v>
      </c>
      <c r="P72" s="29" t="s">
        <v>70</v>
      </c>
      <c r="Q72" s="24"/>
    </row>
    <row r="73" spans="1:17" x14ac:dyDescent="0.25">
      <c r="A73" s="24"/>
      <c r="B73" s="24"/>
      <c r="C73" s="26" t="s">
        <v>279</v>
      </c>
      <c r="D73" s="24"/>
      <c r="E73" s="24"/>
      <c r="F73" s="26" t="s">
        <v>128</v>
      </c>
      <c r="G73" s="24"/>
      <c r="K73" s="24"/>
      <c r="L73" s="24"/>
      <c r="M73" s="26" t="s">
        <v>279</v>
      </c>
      <c r="N73" s="24"/>
      <c r="O73" s="24"/>
      <c r="P73" s="26" t="s">
        <v>128</v>
      </c>
      <c r="Q73" s="24"/>
    </row>
  </sheetData>
  <mergeCells count="56">
    <mergeCell ref="B36:C36"/>
    <mergeCell ref="D36:E36"/>
    <mergeCell ref="F36:G36"/>
    <mergeCell ref="A1:I1"/>
    <mergeCell ref="D13:H13"/>
    <mergeCell ref="H18:I18"/>
    <mergeCell ref="B19:C19"/>
    <mergeCell ref="D19:E19"/>
    <mergeCell ref="F19:G19"/>
    <mergeCell ref="H26:I26"/>
    <mergeCell ref="B27:C27"/>
    <mergeCell ref="D27:E27"/>
    <mergeCell ref="F27:G27"/>
    <mergeCell ref="H35:I35"/>
    <mergeCell ref="A3:D3"/>
    <mergeCell ref="A4:D4"/>
    <mergeCell ref="H59:I59"/>
    <mergeCell ref="B60:C60"/>
    <mergeCell ref="D60:E60"/>
    <mergeCell ref="F60:G60"/>
    <mergeCell ref="H43:I43"/>
    <mergeCell ref="B44:C44"/>
    <mergeCell ref="D44:E44"/>
    <mergeCell ref="F44:G44"/>
    <mergeCell ref="H51:I51"/>
    <mergeCell ref="B52:C52"/>
    <mergeCell ref="D52:E52"/>
    <mergeCell ref="F52:G52"/>
    <mergeCell ref="K1:S1"/>
    <mergeCell ref="K3:N3"/>
    <mergeCell ref="K4:N4"/>
    <mergeCell ref="N13:R13"/>
    <mergeCell ref="R18:S18"/>
    <mergeCell ref="L19:M19"/>
    <mergeCell ref="N19:O19"/>
    <mergeCell ref="P19:Q19"/>
    <mergeCell ref="R26:S26"/>
    <mergeCell ref="R43:S43"/>
    <mergeCell ref="R35:S35"/>
    <mergeCell ref="L44:M44"/>
    <mergeCell ref="N44:O44"/>
    <mergeCell ref="P44:Q44"/>
    <mergeCell ref="L27:M27"/>
    <mergeCell ref="N27:O27"/>
    <mergeCell ref="P27:Q27"/>
    <mergeCell ref="L36:M36"/>
    <mergeCell ref="N36:O36"/>
    <mergeCell ref="P36:Q36"/>
    <mergeCell ref="L60:M60"/>
    <mergeCell ref="N60:O60"/>
    <mergeCell ref="P60:Q60"/>
    <mergeCell ref="R51:S51"/>
    <mergeCell ref="L52:M52"/>
    <mergeCell ref="N52:O52"/>
    <mergeCell ref="P52:Q52"/>
    <mergeCell ref="R59:S59"/>
  </mergeCells>
  <pageMargins left="0.7" right="0.7" top="0.75" bottom="0.75" header="0.3" footer="0.3"/>
  <pageSetup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/>
  <dimension ref="A1:D31"/>
  <sheetViews>
    <sheetView view="pageLayout" zoomScaleNormal="100" workbookViewId="0">
      <selection activeCell="A9" sqref="A9:D9"/>
    </sheetView>
  </sheetViews>
  <sheetFormatPr defaultRowHeight="15" x14ac:dyDescent="0.25"/>
  <cols>
    <col min="1" max="1" width="14.140625" customWidth="1"/>
    <col min="2" max="2" width="10.5703125" customWidth="1"/>
    <col min="3" max="3" width="23.28515625" customWidth="1"/>
    <col min="4" max="4" width="23.85546875" customWidth="1"/>
    <col min="5" max="5" width="12.140625" customWidth="1"/>
  </cols>
  <sheetData>
    <row r="1" spans="1:4" ht="15.75" x14ac:dyDescent="0.25">
      <c r="A1" s="75"/>
      <c r="B1" s="1"/>
      <c r="C1" s="1"/>
      <c r="D1" s="1"/>
    </row>
    <row r="2" spans="1:4" ht="15.75" x14ac:dyDescent="0.25">
      <c r="A2" s="75"/>
      <c r="B2" s="1"/>
      <c r="C2" s="1"/>
      <c r="D2" s="1"/>
    </row>
    <row r="3" spans="1:4" ht="15.75" x14ac:dyDescent="0.25">
      <c r="A3" s="926" t="s">
        <v>94</v>
      </c>
      <c r="B3" s="926"/>
      <c r="C3" s="926"/>
      <c r="D3" s="926"/>
    </row>
    <row r="4" spans="1:4" ht="15.75" x14ac:dyDescent="0.25">
      <c r="A4" s="75"/>
      <c r="B4" s="1"/>
      <c r="C4" s="1"/>
      <c r="D4" s="1"/>
    </row>
    <row r="5" spans="1:4" x14ac:dyDescent="0.25">
      <c r="A5" s="927" t="s">
        <v>95</v>
      </c>
      <c r="B5" s="927"/>
      <c r="C5" s="927"/>
      <c r="D5" s="927"/>
    </row>
    <row r="6" spans="1:4" x14ac:dyDescent="0.25">
      <c r="A6" s="927" t="s">
        <v>224</v>
      </c>
      <c r="B6" s="927"/>
      <c r="C6" s="927"/>
      <c r="D6" s="927"/>
    </row>
    <row r="7" spans="1:4" x14ac:dyDescent="0.25">
      <c r="A7" s="927" t="s">
        <v>369</v>
      </c>
      <c r="B7" s="927"/>
      <c r="C7" s="927"/>
      <c r="D7" s="927"/>
    </row>
    <row r="8" spans="1:4" x14ac:dyDescent="0.25">
      <c r="A8" s="2"/>
      <c r="B8" s="2"/>
      <c r="C8" s="2"/>
      <c r="D8" s="2"/>
    </row>
    <row r="9" spans="1:4" x14ac:dyDescent="0.25">
      <c r="A9" s="928" t="s">
        <v>397</v>
      </c>
      <c r="B9" s="928"/>
      <c r="C9" s="928"/>
      <c r="D9" s="928"/>
    </row>
    <row r="10" spans="1:4" ht="16.5" thickBot="1" x14ac:dyDescent="0.3">
      <c r="A10" s="76"/>
      <c r="B10" s="1"/>
      <c r="C10" s="1"/>
      <c r="D10" s="1"/>
    </row>
    <row r="11" spans="1:4" ht="15.75" thickTop="1" x14ac:dyDescent="0.25">
      <c r="A11" s="922" t="s">
        <v>139</v>
      </c>
      <c r="B11" s="923"/>
      <c r="C11" s="224" t="s">
        <v>98</v>
      </c>
      <c r="D11" s="225" t="s">
        <v>98</v>
      </c>
    </row>
    <row r="12" spans="1:4" ht="15.75" thickBot="1" x14ac:dyDescent="0.3">
      <c r="A12" s="924"/>
      <c r="B12" s="925"/>
      <c r="C12" s="226" t="s">
        <v>99</v>
      </c>
      <c r="D12" s="227" t="s">
        <v>100</v>
      </c>
    </row>
    <row r="13" spans="1:4" ht="16.5" thickTop="1" x14ac:dyDescent="0.25">
      <c r="A13" s="1028" t="s">
        <v>54</v>
      </c>
      <c r="B13" s="1029"/>
      <c r="C13" s="228">
        <v>9.41</v>
      </c>
      <c r="D13" s="232">
        <f>'Cálculos Yabucoa'!B21+'Cálculos Yabucoa'!L21</f>
        <v>0</v>
      </c>
    </row>
    <row r="14" spans="1:4" ht="15.75" x14ac:dyDescent="0.25">
      <c r="A14" s="1027" t="s">
        <v>56</v>
      </c>
      <c r="B14" s="1027"/>
      <c r="C14" s="229">
        <v>395.87</v>
      </c>
      <c r="D14" s="233">
        <f>'Cálculos Yabucoa'!B29+'Cálculos Yabucoa'!L29</f>
        <v>0</v>
      </c>
    </row>
    <row r="15" spans="1:4" ht="15.75" x14ac:dyDescent="0.25">
      <c r="A15" s="1027" t="s">
        <v>57</v>
      </c>
      <c r="B15" s="1027"/>
      <c r="C15" s="229">
        <v>689.83</v>
      </c>
      <c r="D15" s="233">
        <f>'Cálculos Yabucoa'!B38+'Cálculos Yabucoa'!L38</f>
        <v>0</v>
      </c>
    </row>
    <row r="16" spans="1:4" ht="15.75" x14ac:dyDescent="0.25">
      <c r="A16" s="1027" t="s">
        <v>59</v>
      </c>
      <c r="B16" s="1027"/>
      <c r="C16" s="237">
        <v>0.32</v>
      </c>
      <c r="D16" s="235">
        <f>'Cálculos Yabucoa'!B46+'Cálculos Yabucoa'!L46</f>
        <v>0</v>
      </c>
    </row>
    <row r="17" spans="1:4" ht="15.75" x14ac:dyDescent="0.25">
      <c r="A17" s="1027" t="s">
        <v>61</v>
      </c>
      <c r="B17" s="1027"/>
      <c r="C17" s="228">
        <v>2.59</v>
      </c>
      <c r="D17" s="236">
        <f>'Cálculos Yabucoa'!B54+'Cálculos Yabucoa'!L54</f>
        <v>0</v>
      </c>
    </row>
    <row r="18" spans="1:4" ht="15.75" x14ac:dyDescent="0.25">
      <c r="A18" s="1027" t="s">
        <v>102</v>
      </c>
      <c r="B18" s="1027"/>
      <c r="C18" s="231">
        <v>1.0999999999999999E-2</v>
      </c>
      <c r="D18" s="234">
        <f>'Cálculos Yabucoa'!B62+'Cálculos Yabucoa'!L62</f>
        <v>0</v>
      </c>
    </row>
    <row r="19" spans="1:4" ht="18.75" x14ac:dyDescent="0.25">
      <c r="A19" s="876" t="s">
        <v>317</v>
      </c>
      <c r="B19" s="876"/>
      <c r="C19" s="74"/>
      <c r="D19" s="515">
        <f>'Cálculos Yabucoa'!B72+'Cálculos Yabucoa'!L72</f>
        <v>0</v>
      </c>
    </row>
    <row r="20" spans="1:4" ht="15.75" x14ac:dyDescent="0.25">
      <c r="A20" s="76"/>
      <c r="B20" s="1"/>
      <c r="C20" s="1"/>
      <c r="D20" s="1"/>
    </row>
    <row r="21" spans="1:4" ht="15.75" x14ac:dyDescent="0.25">
      <c r="A21" s="76" t="s">
        <v>103</v>
      </c>
      <c r="B21" s="1"/>
      <c r="C21" s="1"/>
      <c r="D21" s="1"/>
    </row>
    <row r="22" spans="1:4" ht="15.75" x14ac:dyDescent="0.25">
      <c r="A22" s="76" t="s">
        <v>104</v>
      </c>
      <c r="B22" s="1"/>
      <c r="C22" s="1"/>
      <c r="D22" s="1"/>
    </row>
    <row r="23" spans="1:4" ht="15.75" x14ac:dyDescent="0.25">
      <c r="A23" s="76" t="s">
        <v>105</v>
      </c>
      <c r="B23" s="1"/>
      <c r="C23" s="1"/>
      <c r="D23" s="1"/>
    </row>
    <row r="24" spans="1:4" ht="15.75" x14ac:dyDescent="0.25">
      <c r="A24" s="76" t="s">
        <v>106</v>
      </c>
      <c r="B24" s="1"/>
      <c r="C24" s="1"/>
      <c r="D24" s="1"/>
    </row>
    <row r="25" spans="1:4" ht="15.75" x14ac:dyDescent="0.25">
      <c r="A25" s="76"/>
      <c r="B25" s="1"/>
      <c r="C25" s="1"/>
      <c r="D25" s="1"/>
    </row>
    <row r="26" spans="1:4" ht="15.75" x14ac:dyDescent="0.25">
      <c r="A26" s="76" t="s">
        <v>227</v>
      </c>
      <c r="B26" s="1"/>
      <c r="C26" s="1"/>
      <c r="D26" s="1"/>
    </row>
    <row r="27" spans="1:4" ht="15.75" x14ac:dyDescent="0.25">
      <c r="A27" s="76"/>
      <c r="B27" s="1"/>
      <c r="C27" s="1"/>
      <c r="D27" s="1"/>
    </row>
    <row r="28" spans="1:4" ht="15.75" x14ac:dyDescent="0.25">
      <c r="A28" s="76" t="s">
        <v>225</v>
      </c>
      <c r="B28" s="1"/>
      <c r="C28" s="1"/>
      <c r="D28" s="1"/>
    </row>
    <row r="29" spans="1:4" ht="15.75" x14ac:dyDescent="0.25">
      <c r="A29" s="76" t="s">
        <v>226</v>
      </c>
      <c r="B29" s="1"/>
      <c r="C29" s="1"/>
      <c r="D29" s="1"/>
    </row>
    <row r="31" spans="1:4" ht="15.75" x14ac:dyDescent="0.25">
      <c r="A31" s="51" t="s">
        <v>312</v>
      </c>
    </row>
  </sheetData>
  <mergeCells count="13">
    <mergeCell ref="A19:B19"/>
    <mergeCell ref="A3:D3"/>
    <mergeCell ref="A11:B12"/>
    <mergeCell ref="A7:D7"/>
    <mergeCell ref="A6:D6"/>
    <mergeCell ref="A5:D5"/>
    <mergeCell ref="A9:D9"/>
    <mergeCell ref="A18:B18"/>
    <mergeCell ref="A13:B13"/>
    <mergeCell ref="A14:B14"/>
    <mergeCell ref="A15:B15"/>
    <mergeCell ref="A16:B16"/>
    <mergeCell ref="A17:B17"/>
  </mergeCells>
  <pageMargins left="1.166666666666666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/>
  <dimension ref="A1:W84"/>
  <sheetViews>
    <sheetView workbookViewId="0">
      <selection activeCell="K1" sqref="K1:S1"/>
    </sheetView>
  </sheetViews>
  <sheetFormatPr defaultRowHeight="15" x14ac:dyDescent="0.25"/>
  <cols>
    <col min="1" max="1" width="16.140625" customWidth="1"/>
    <col min="2" max="2" width="12.140625" customWidth="1"/>
    <col min="4" max="4" width="9.85546875" bestFit="1" customWidth="1"/>
    <col min="10" max="10" width="4" customWidth="1"/>
    <col min="11" max="11" width="11.42578125" customWidth="1"/>
    <col min="14" max="14" width="9.85546875" bestFit="1" customWidth="1"/>
    <col min="19" max="19" width="6.7109375" customWidth="1"/>
  </cols>
  <sheetData>
    <row r="1" spans="1:23" x14ac:dyDescent="0.25">
      <c r="A1" s="928" t="s">
        <v>416</v>
      </c>
      <c r="B1" s="928"/>
      <c r="C1" s="928"/>
      <c r="D1" s="928"/>
      <c r="E1" s="928"/>
      <c r="F1" s="928"/>
      <c r="G1" s="928"/>
      <c r="H1" s="928"/>
      <c r="I1" s="928"/>
      <c r="J1" s="928"/>
      <c r="K1" s="928" t="s">
        <v>417</v>
      </c>
      <c r="L1" s="928"/>
      <c r="M1" s="928"/>
      <c r="N1" s="928"/>
      <c r="O1" s="928"/>
      <c r="P1" s="928"/>
      <c r="Q1" s="928"/>
      <c r="R1" s="928"/>
      <c r="S1" s="928"/>
      <c r="T1" s="77"/>
    </row>
    <row r="2" spans="1:23" ht="15.75" thickBot="1" x14ac:dyDescent="0.3"/>
    <row r="3" spans="1:23" x14ac:dyDescent="0.25">
      <c r="A3" s="1033" t="s">
        <v>318</v>
      </c>
      <c r="B3" s="1034"/>
      <c r="C3" s="1034"/>
      <c r="D3" s="1035"/>
      <c r="E3" s="1"/>
      <c r="F3" s="1"/>
      <c r="G3" s="1"/>
      <c r="H3" s="1"/>
      <c r="I3" s="1"/>
      <c r="J3" s="1"/>
      <c r="K3" s="1033" t="s">
        <v>318</v>
      </c>
      <c r="L3" s="1034"/>
      <c r="M3" s="1034"/>
      <c r="N3" s="1035"/>
      <c r="O3" s="1"/>
      <c r="P3" s="1"/>
      <c r="Q3" s="1"/>
      <c r="R3" s="1"/>
      <c r="S3" s="1"/>
      <c r="T3" s="1"/>
    </row>
    <row r="4" spans="1:23" ht="15.75" thickBot="1" x14ac:dyDescent="0.3">
      <c r="A4" s="1036" t="s">
        <v>218</v>
      </c>
      <c r="B4" s="1037"/>
      <c r="C4" s="1037"/>
      <c r="D4" s="1038"/>
      <c r="E4" s="1"/>
      <c r="F4" s="1"/>
      <c r="G4" s="1"/>
      <c r="H4" s="1"/>
      <c r="I4" s="1"/>
      <c r="J4" s="1"/>
      <c r="K4" s="1036" t="s">
        <v>218</v>
      </c>
      <c r="L4" s="1037"/>
      <c r="M4" s="1037"/>
      <c r="N4" s="1038"/>
      <c r="O4" s="1"/>
      <c r="P4" s="1"/>
      <c r="Q4" s="1"/>
      <c r="R4" s="1"/>
      <c r="S4" s="1"/>
      <c r="T4" s="1"/>
    </row>
    <row r="5" spans="1:23" x14ac:dyDescent="0.25">
      <c r="A5" s="245" t="s">
        <v>228</v>
      </c>
      <c r="B5" s="246">
        <v>1.2E-2</v>
      </c>
      <c r="C5" s="246" t="s">
        <v>219</v>
      </c>
      <c r="D5" s="18"/>
      <c r="E5" s="1"/>
      <c r="F5" s="1"/>
      <c r="G5" s="1"/>
      <c r="H5" s="1"/>
      <c r="I5" s="1"/>
      <c r="J5" s="1"/>
      <c r="K5" s="245" t="s">
        <v>228</v>
      </c>
      <c r="L5" s="246">
        <v>1.2E-2</v>
      </c>
      <c r="M5" s="246" t="s">
        <v>219</v>
      </c>
      <c r="N5" s="18"/>
      <c r="O5" s="1"/>
      <c r="P5" s="1"/>
      <c r="Q5" s="1"/>
      <c r="R5" s="1"/>
      <c r="S5" s="1"/>
      <c r="T5" s="1"/>
    </row>
    <row r="6" spans="1:23" x14ac:dyDescent="0.25">
      <c r="A6" s="247" t="s">
        <v>56</v>
      </c>
      <c r="B6" s="248">
        <v>1.01</v>
      </c>
      <c r="C6" s="248" t="s">
        <v>220</v>
      </c>
      <c r="D6" s="249"/>
      <c r="E6" s="1"/>
      <c r="F6" s="1"/>
      <c r="G6" s="1"/>
      <c r="H6" s="1"/>
      <c r="I6" s="1"/>
      <c r="J6" s="1"/>
      <c r="K6" s="247" t="s">
        <v>56</v>
      </c>
      <c r="L6" s="248">
        <v>1.01</v>
      </c>
      <c r="M6" s="248" t="s">
        <v>220</v>
      </c>
      <c r="N6" s="249"/>
      <c r="O6" s="1"/>
      <c r="P6" s="1"/>
      <c r="Q6" s="1"/>
      <c r="R6" s="1"/>
      <c r="S6" s="1"/>
      <c r="T6" s="1"/>
    </row>
    <row r="7" spans="1:23" x14ac:dyDescent="0.25">
      <c r="A7" s="247" t="s">
        <v>57</v>
      </c>
      <c r="B7" s="248">
        <v>0.88</v>
      </c>
      <c r="C7" s="248" t="s">
        <v>219</v>
      </c>
      <c r="D7" s="249"/>
      <c r="E7" s="1"/>
      <c r="F7" s="1"/>
      <c r="G7" s="1"/>
      <c r="H7" s="1"/>
      <c r="I7" s="1"/>
      <c r="J7" s="1"/>
      <c r="K7" s="247" t="s">
        <v>57</v>
      </c>
      <c r="L7" s="248">
        <v>0.88</v>
      </c>
      <c r="M7" s="248" t="s">
        <v>219</v>
      </c>
      <c r="N7" s="249"/>
      <c r="O7" s="1"/>
      <c r="P7" s="1"/>
      <c r="Q7" s="1"/>
      <c r="R7" s="1"/>
      <c r="S7" s="1"/>
      <c r="T7" s="1"/>
    </row>
    <row r="8" spans="1:23" x14ac:dyDescent="0.25">
      <c r="A8" s="247" t="s">
        <v>59</v>
      </c>
      <c r="B8" s="248">
        <v>4.0999999999999999E-4</v>
      </c>
      <c r="C8" s="248" t="s">
        <v>219</v>
      </c>
      <c r="D8" s="249"/>
      <c r="E8" s="1"/>
      <c r="F8" s="1"/>
      <c r="G8" s="1"/>
      <c r="H8" s="1"/>
      <c r="I8" s="1"/>
      <c r="J8" s="1"/>
      <c r="K8" s="247" t="s">
        <v>59</v>
      </c>
      <c r="L8" s="248">
        <v>4.0999999999999999E-4</v>
      </c>
      <c r="M8" s="248" t="s">
        <v>219</v>
      </c>
      <c r="N8" s="249"/>
      <c r="O8" s="1"/>
      <c r="P8" s="1"/>
      <c r="Q8" s="1"/>
      <c r="R8" s="1"/>
      <c r="S8" s="1"/>
      <c r="T8" s="1"/>
    </row>
    <row r="9" spans="1:23" x14ac:dyDescent="0.25">
      <c r="A9" s="247" t="s">
        <v>61</v>
      </c>
      <c r="B9" s="248">
        <v>3.3E-3</v>
      </c>
      <c r="C9" s="248" t="s">
        <v>219</v>
      </c>
      <c r="D9" s="249"/>
      <c r="E9" s="1"/>
      <c r="F9" s="1"/>
      <c r="G9" s="1"/>
      <c r="H9" s="1"/>
      <c r="I9" s="1"/>
      <c r="J9" s="1"/>
      <c r="K9" s="247" t="s">
        <v>61</v>
      </c>
      <c r="L9" s="248">
        <v>3.3E-3</v>
      </c>
      <c r="M9" s="248" t="s">
        <v>219</v>
      </c>
      <c r="N9" s="249"/>
      <c r="O9" s="1"/>
      <c r="P9" s="1"/>
      <c r="Q9" s="1"/>
      <c r="R9" s="1"/>
      <c r="S9" s="1"/>
      <c r="T9" s="1"/>
    </row>
    <row r="10" spans="1:23" ht="15.75" thickBot="1" x14ac:dyDescent="0.3">
      <c r="A10" s="250" t="s">
        <v>63</v>
      </c>
      <c r="B10" s="251">
        <v>1.4E-5</v>
      </c>
      <c r="C10" s="251" t="s">
        <v>219</v>
      </c>
      <c r="D10" s="252"/>
      <c r="E10" s="1"/>
      <c r="F10" s="1"/>
      <c r="G10" s="1"/>
      <c r="H10" s="1"/>
      <c r="I10" s="1"/>
      <c r="J10" s="1"/>
      <c r="K10" s="250" t="s">
        <v>63</v>
      </c>
      <c r="L10" s="251">
        <v>1.4E-5</v>
      </c>
      <c r="M10" s="251" t="s">
        <v>219</v>
      </c>
      <c r="N10" s="252"/>
      <c r="O10" s="1"/>
      <c r="P10" s="1"/>
      <c r="Q10" s="1"/>
      <c r="R10" s="1"/>
      <c r="S10" s="1"/>
      <c r="T10" s="1"/>
    </row>
    <row r="11" spans="1:23" ht="15.75" thickBot="1" x14ac:dyDescent="0.3">
      <c r="A11" s="516" t="s">
        <v>328</v>
      </c>
      <c r="B11" s="517" t="s">
        <v>337</v>
      </c>
      <c r="C11" s="518" t="s">
        <v>338</v>
      </c>
      <c r="D11" s="24"/>
      <c r="E11" s="24"/>
      <c r="F11" s="24"/>
      <c r="G11" s="24"/>
      <c r="H11" s="24"/>
      <c r="I11" s="24"/>
      <c r="K11" s="516" t="s">
        <v>328</v>
      </c>
      <c r="L11" s="517" t="s">
        <v>337</v>
      </c>
      <c r="M11" s="518" t="s">
        <v>338</v>
      </c>
    </row>
    <row r="13" spans="1:23" x14ac:dyDescent="0.25">
      <c r="A13" s="1" t="s">
        <v>115</v>
      </c>
      <c r="B13" s="239">
        <f>Turbinas!B7</f>
        <v>0</v>
      </c>
      <c r="C13" s="1" t="s">
        <v>268</v>
      </c>
      <c r="D13" s="1"/>
      <c r="E13" s="1"/>
      <c r="F13" s="1"/>
      <c r="G13" s="1"/>
      <c r="H13" s="1"/>
      <c r="I13" s="1"/>
      <c r="J13" s="1"/>
      <c r="K13" s="1" t="s">
        <v>115</v>
      </c>
      <c r="L13" s="239">
        <f>Turbinas!C7</f>
        <v>0</v>
      </c>
      <c r="M13" s="1" t="s">
        <v>268</v>
      </c>
      <c r="N13" s="1"/>
      <c r="O13" s="1"/>
      <c r="P13" s="1"/>
      <c r="Q13" s="1"/>
      <c r="R13" s="1"/>
      <c r="S13" s="1"/>
      <c r="T13" s="1"/>
    </row>
    <row r="14" spans="1:23" x14ac:dyDescent="0.25">
      <c r="A14" s="1" t="s">
        <v>130</v>
      </c>
      <c r="B14" s="3">
        <f>Turbinas!AC7</f>
        <v>0.01</v>
      </c>
      <c r="C14" s="1"/>
      <c r="D14" s="1"/>
      <c r="E14" s="1"/>
      <c r="F14" s="1"/>
      <c r="G14" s="1"/>
      <c r="H14" s="1"/>
      <c r="I14" s="1"/>
      <c r="J14" s="1"/>
      <c r="K14" s="1" t="s">
        <v>130</v>
      </c>
      <c r="L14" s="3">
        <f>Turbinas!AD7</f>
        <v>0.01</v>
      </c>
      <c r="M14" s="1"/>
      <c r="N14" s="1"/>
      <c r="O14" s="1"/>
      <c r="P14" s="1"/>
      <c r="Q14" s="1"/>
      <c r="R14" s="1"/>
      <c r="S14" s="1"/>
      <c r="T14" s="1"/>
      <c r="V14">
        <f>(73.96+0.003*25+0.0006*298)*2.2046*0.138</f>
        <v>22.578420600240001</v>
      </c>
      <c r="W14" t="s">
        <v>329</v>
      </c>
    </row>
    <row r="17" spans="1:20" ht="15.75" x14ac:dyDescent="0.3">
      <c r="A17" s="230" t="s">
        <v>213</v>
      </c>
      <c r="B17" s="1"/>
      <c r="C17" s="1"/>
      <c r="D17" s="1"/>
      <c r="E17" s="1"/>
      <c r="F17" s="1"/>
      <c r="G17" s="1"/>
      <c r="H17" s="1"/>
      <c r="I17" s="1"/>
      <c r="J17" s="1"/>
      <c r="K17" s="230" t="s">
        <v>213</v>
      </c>
      <c r="L17" s="1"/>
      <c r="M17" s="1"/>
      <c r="N17" s="1"/>
      <c r="O17" s="1"/>
      <c r="P17" s="1"/>
      <c r="Q17" s="1"/>
      <c r="R17" s="1"/>
      <c r="S17" s="1"/>
      <c r="T17" s="1"/>
    </row>
    <row r="19" spans="1:20" x14ac:dyDescent="0.25">
      <c r="A19" s="4" t="s">
        <v>69</v>
      </c>
      <c r="B19" s="240">
        <v>1.2E-2</v>
      </c>
      <c r="C19" s="241" t="s">
        <v>70</v>
      </c>
      <c r="D19" s="242">
        <f>B13</f>
        <v>0</v>
      </c>
      <c r="E19" s="241" t="s">
        <v>71</v>
      </c>
      <c r="F19" s="240">
        <v>0.13800000000000001</v>
      </c>
      <c r="G19" s="241" t="s">
        <v>86</v>
      </c>
      <c r="H19" s="1031" t="s">
        <v>72</v>
      </c>
      <c r="I19" s="1032"/>
      <c r="J19" s="1"/>
      <c r="K19" s="4" t="s">
        <v>69</v>
      </c>
      <c r="L19" s="240">
        <v>1.2E-2</v>
      </c>
      <c r="M19" s="241" t="s">
        <v>70</v>
      </c>
      <c r="N19" s="242">
        <f>L13</f>
        <v>0</v>
      </c>
      <c r="O19" s="241" t="s">
        <v>71</v>
      </c>
      <c r="P19" s="240">
        <v>0.13800000000000001</v>
      </c>
      <c r="Q19" s="241" t="s">
        <v>86</v>
      </c>
      <c r="R19" s="1031" t="s">
        <v>72</v>
      </c>
      <c r="S19" s="1032"/>
      <c r="T19" s="1"/>
    </row>
    <row r="20" spans="1:20" x14ac:dyDescent="0.25">
      <c r="A20" s="1"/>
      <c r="B20" s="1030" t="s">
        <v>86</v>
      </c>
      <c r="C20" s="927"/>
      <c r="D20" s="1030" t="s">
        <v>279</v>
      </c>
      <c r="E20" s="927"/>
      <c r="F20" s="1030" t="s">
        <v>71</v>
      </c>
      <c r="G20" s="927"/>
      <c r="H20" s="243">
        <v>2000</v>
      </c>
      <c r="I20" s="1" t="s">
        <v>70</v>
      </c>
      <c r="J20" s="1"/>
      <c r="K20" s="1"/>
      <c r="L20" s="1030" t="s">
        <v>86</v>
      </c>
      <c r="M20" s="927"/>
      <c r="N20" s="1030" t="s">
        <v>279</v>
      </c>
      <c r="O20" s="927"/>
      <c r="P20" s="1030" t="s">
        <v>71</v>
      </c>
      <c r="Q20" s="927"/>
      <c r="R20" s="243">
        <v>2000</v>
      </c>
      <c r="S20" s="1" t="s">
        <v>70</v>
      </c>
      <c r="T20" s="1"/>
    </row>
    <row r="23" spans="1:20" x14ac:dyDescent="0.25">
      <c r="A23" s="4" t="s">
        <v>69</v>
      </c>
      <c r="B23" s="238">
        <f>(B19*D19*F19)/H20</f>
        <v>0</v>
      </c>
      <c r="C23" s="5" t="s">
        <v>72</v>
      </c>
      <c r="D23" s="1"/>
      <c r="E23" s="230" t="s">
        <v>69</v>
      </c>
      <c r="F23" s="238">
        <f>B23*2000/8760</f>
        <v>0</v>
      </c>
      <c r="G23" s="78" t="s">
        <v>118</v>
      </c>
      <c r="H23" s="1"/>
      <c r="I23" s="1"/>
      <c r="J23" s="1"/>
      <c r="K23" s="4" t="s">
        <v>69</v>
      </c>
      <c r="L23" s="238">
        <f>(L19*N19*P19)/R20</f>
        <v>0</v>
      </c>
      <c r="M23" s="5" t="s">
        <v>72</v>
      </c>
      <c r="N23" s="1"/>
      <c r="O23" s="230" t="s">
        <v>69</v>
      </c>
      <c r="P23" s="238">
        <f>L23*2000/8760</f>
        <v>0</v>
      </c>
      <c r="Q23" s="78" t="s">
        <v>118</v>
      </c>
      <c r="R23" s="1"/>
      <c r="S23" s="1"/>
      <c r="T23" s="1"/>
    </row>
    <row r="24" spans="1:20" x14ac:dyDescent="0.25">
      <c r="A24" s="1"/>
      <c r="B24" s="1"/>
      <c r="C24" s="2" t="s">
        <v>279</v>
      </c>
      <c r="D24" s="1"/>
      <c r="E24" s="1"/>
      <c r="F24" s="1"/>
      <c r="G24" s="253" t="s">
        <v>128</v>
      </c>
      <c r="H24" s="1"/>
      <c r="I24" s="1"/>
      <c r="J24" s="1"/>
      <c r="K24" s="1"/>
      <c r="L24" s="1"/>
      <c r="M24" s="2" t="s">
        <v>279</v>
      </c>
      <c r="N24" s="1"/>
      <c r="O24" s="1"/>
      <c r="P24" s="1"/>
      <c r="Q24" s="253" t="s">
        <v>128</v>
      </c>
      <c r="R24" s="1"/>
      <c r="S24" s="1"/>
      <c r="T24" s="1"/>
    </row>
    <row r="27" spans="1:20" x14ac:dyDescent="0.25">
      <c r="A27" s="1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 t="s">
        <v>74</v>
      </c>
      <c r="L27" s="1"/>
      <c r="M27" s="1"/>
      <c r="N27" s="1"/>
      <c r="O27" s="1"/>
      <c r="P27" s="1"/>
      <c r="Q27" s="1"/>
      <c r="R27" s="1"/>
      <c r="S27" s="1"/>
      <c r="T27" s="1"/>
    </row>
    <row r="29" spans="1:20" x14ac:dyDescent="0.25">
      <c r="A29" s="4" t="s">
        <v>69</v>
      </c>
      <c r="B29" s="244">
        <f>B6*B14</f>
        <v>1.01E-2</v>
      </c>
      <c r="C29" s="241" t="s">
        <v>70</v>
      </c>
      <c r="D29" s="242">
        <f>B13</f>
        <v>0</v>
      </c>
      <c r="E29" s="241" t="s">
        <v>71</v>
      </c>
      <c r="F29" s="240">
        <v>0.13800000000000001</v>
      </c>
      <c r="G29" s="241" t="s">
        <v>86</v>
      </c>
      <c r="H29" s="1031" t="s">
        <v>72</v>
      </c>
      <c r="I29" s="1032"/>
      <c r="J29" s="1"/>
      <c r="K29" s="4" t="s">
        <v>69</v>
      </c>
      <c r="L29" s="244">
        <f>L6*L14</f>
        <v>1.01E-2</v>
      </c>
      <c r="M29" s="241" t="s">
        <v>70</v>
      </c>
      <c r="N29" s="242">
        <f>L13</f>
        <v>0</v>
      </c>
      <c r="O29" s="241" t="s">
        <v>71</v>
      </c>
      <c r="P29" s="240">
        <v>0.13800000000000001</v>
      </c>
      <c r="Q29" s="241" t="s">
        <v>86</v>
      </c>
      <c r="R29" s="1031" t="s">
        <v>72</v>
      </c>
      <c r="S29" s="1032"/>
      <c r="T29" s="1"/>
    </row>
    <row r="30" spans="1:20" x14ac:dyDescent="0.25">
      <c r="A30" s="1"/>
      <c r="B30" s="1030" t="s">
        <v>86</v>
      </c>
      <c r="C30" s="927"/>
      <c r="D30" s="1030" t="s">
        <v>279</v>
      </c>
      <c r="E30" s="927"/>
      <c r="F30" s="1030" t="s">
        <v>71</v>
      </c>
      <c r="G30" s="927"/>
      <c r="H30" s="243">
        <v>2000</v>
      </c>
      <c r="I30" s="1" t="s">
        <v>70</v>
      </c>
      <c r="J30" s="1"/>
      <c r="K30" s="1"/>
      <c r="L30" s="1030" t="s">
        <v>86</v>
      </c>
      <c r="M30" s="927"/>
      <c r="N30" s="1030" t="s">
        <v>279</v>
      </c>
      <c r="O30" s="927"/>
      <c r="P30" s="1030" t="s">
        <v>71</v>
      </c>
      <c r="Q30" s="927"/>
      <c r="R30" s="243">
        <v>2000</v>
      </c>
      <c r="S30" s="1" t="s">
        <v>70</v>
      </c>
      <c r="T30" s="1"/>
    </row>
    <row r="33" spans="1:20" x14ac:dyDescent="0.25">
      <c r="A33" s="4" t="s">
        <v>69</v>
      </c>
      <c r="B33" s="238">
        <f>(B29*D29*F29)/H30</f>
        <v>0</v>
      </c>
      <c r="C33" s="5" t="s">
        <v>72</v>
      </c>
      <c r="D33" s="1"/>
      <c r="E33" s="230" t="s">
        <v>69</v>
      </c>
      <c r="F33" s="238">
        <f>B33*2000/8760</f>
        <v>0</v>
      </c>
      <c r="G33" s="78" t="s">
        <v>118</v>
      </c>
      <c r="H33" s="1"/>
      <c r="I33" s="1"/>
      <c r="J33" s="1"/>
      <c r="K33" s="4" t="s">
        <v>69</v>
      </c>
      <c r="L33" s="238">
        <f>(L29*N29*P29)/R30</f>
        <v>0</v>
      </c>
      <c r="M33" s="5" t="s">
        <v>72</v>
      </c>
      <c r="N33" s="1"/>
      <c r="O33" s="230" t="s">
        <v>69</v>
      </c>
      <c r="P33" s="238">
        <f>L33*2000/8760</f>
        <v>0</v>
      </c>
      <c r="Q33" s="78" t="s">
        <v>118</v>
      </c>
      <c r="R33" s="1"/>
      <c r="S33" s="1"/>
      <c r="T33" s="1"/>
    </row>
    <row r="34" spans="1:20" x14ac:dyDescent="0.25">
      <c r="A34" s="1"/>
      <c r="B34" s="1"/>
      <c r="C34" s="2" t="s">
        <v>279</v>
      </c>
      <c r="D34" s="1"/>
      <c r="E34" s="1"/>
      <c r="F34" s="1"/>
      <c r="G34" s="253" t="s">
        <v>128</v>
      </c>
      <c r="H34" s="1"/>
      <c r="I34" s="1"/>
      <c r="J34" s="1"/>
      <c r="K34" s="1"/>
      <c r="L34" s="1"/>
      <c r="M34" s="2" t="s">
        <v>279</v>
      </c>
      <c r="N34" s="1"/>
      <c r="O34" s="1"/>
      <c r="P34" s="1"/>
      <c r="Q34" s="253" t="s">
        <v>128</v>
      </c>
      <c r="R34" s="1"/>
      <c r="S34" s="1"/>
      <c r="T34" s="1"/>
    </row>
    <row r="37" spans="1:20" x14ac:dyDescent="0.25">
      <c r="A37" s="1" t="s">
        <v>75</v>
      </c>
      <c r="B37" s="1"/>
      <c r="C37" s="1"/>
      <c r="D37" s="1"/>
      <c r="E37" s="1"/>
      <c r="F37" s="1"/>
      <c r="G37" s="1"/>
      <c r="H37" s="1"/>
      <c r="I37" s="1"/>
      <c r="J37" s="1"/>
      <c r="K37" s="1" t="s">
        <v>75</v>
      </c>
      <c r="L37" s="1"/>
      <c r="M37" s="1"/>
      <c r="N37" s="1"/>
      <c r="O37" s="1"/>
      <c r="P37" s="1"/>
      <c r="Q37" s="1"/>
      <c r="R37" s="1"/>
      <c r="S37" s="1"/>
      <c r="T37" s="1"/>
    </row>
    <row r="39" spans="1:20" x14ac:dyDescent="0.25">
      <c r="A39" s="4" t="s">
        <v>69</v>
      </c>
      <c r="B39" s="240">
        <v>0.88</v>
      </c>
      <c r="C39" s="241" t="s">
        <v>70</v>
      </c>
      <c r="D39" s="242">
        <f>B13</f>
        <v>0</v>
      </c>
      <c r="E39" s="241" t="s">
        <v>71</v>
      </c>
      <c r="F39" s="240">
        <v>0.13800000000000001</v>
      </c>
      <c r="G39" s="241" t="s">
        <v>86</v>
      </c>
      <c r="H39" s="1031" t="s">
        <v>72</v>
      </c>
      <c r="I39" s="1032"/>
      <c r="J39" s="1"/>
      <c r="K39" s="4" t="s">
        <v>69</v>
      </c>
      <c r="L39" s="240">
        <v>0.88</v>
      </c>
      <c r="M39" s="241" t="s">
        <v>70</v>
      </c>
      <c r="N39" s="242">
        <f>L13</f>
        <v>0</v>
      </c>
      <c r="O39" s="241" t="s">
        <v>71</v>
      </c>
      <c r="P39" s="240">
        <v>0.13800000000000001</v>
      </c>
      <c r="Q39" s="241" t="s">
        <v>86</v>
      </c>
      <c r="R39" s="1031" t="s">
        <v>72</v>
      </c>
      <c r="S39" s="1032"/>
      <c r="T39" s="1"/>
    </row>
    <row r="40" spans="1:20" x14ac:dyDescent="0.25">
      <c r="A40" s="1"/>
      <c r="B40" s="1030" t="s">
        <v>86</v>
      </c>
      <c r="C40" s="927"/>
      <c r="D40" s="1030" t="s">
        <v>279</v>
      </c>
      <c r="E40" s="927"/>
      <c r="F40" s="1030" t="s">
        <v>71</v>
      </c>
      <c r="G40" s="927"/>
      <c r="H40" s="243">
        <v>2000</v>
      </c>
      <c r="I40" s="1" t="s">
        <v>70</v>
      </c>
      <c r="J40" s="1"/>
      <c r="K40" s="1"/>
      <c r="L40" s="1030" t="s">
        <v>86</v>
      </c>
      <c r="M40" s="927"/>
      <c r="N40" s="1030" t="s">
        <v>279</v>
      </c>
      <c r="O40" s="927"/>
      <c r="P40" s="1030" t="s">
        <v>71</v>
      </c>
      <c r="Q40" s="927"/>
      <c r="R40" s="243">
        <v>2000</v>
      </c>
      <c r="S40" s="1" t="s">
        <v>70</v>
      </c>
      <c r="T40" s="1"/>
    </row>
    <row r="43" spans="1:20" x14ac:dyDescent="0.25">
      <c r="A43" s="4" t="s">
        <v>69</v>
      </c>
      <c r="B43" s="238">
        <f>(B39*D39*F39)/H40</f>
        <v>0</v>
      </c>
      <c r="C43" s="5" t="s">
        <v>72</v>
      </c>
      <c r="D43" s="1"/>
      <c r="E43" s="230" t="s">
        <v>69</v>
      </c>
      <c r="F43" s="238">
        <f>B43*2000/8760</f>
        <v>0</v>
      </c>
      <c r="G43" s="78" t="s">
        <v>118</v>
      </c>
      <c r="H43" s="1"/>
      <c r="I43" s="1"/>
      <c r="J43" s="1"/>
      <c r="K43" s="4" t="s">
        <v>69</v>
      </c>
      <c r="L43" s="238">
        <f>(L39*N39*P39)/R40</f>
        <v>0</v>
      </c>
      <c r="M43" s="5" t="s">
        <v>72</v>
      </c>
      <c r="N43" s="1"/>
      <c r="O43" s="230" t="s">
        <v>69</v>
      </c>
      <c r="P43" s="238">
        <f>L43*2000/8760</f>
        <v>0</v>
      </c>
      <c r="Q43" s="78" t="s">
        <v>118</v>
      </c>
      <c r="R43" s="1"/>
      <c r="S43" s="1"/>
      <c r="T43" s="1"/>
    </row>
    <row r="44" spans="1:20" x14ac:dyDescent="0.25">
      <c r="A44" s="1"/>
      <c r="B44" s="1"/>
      <c r="C44" s="2" t="s">
        <v>279</v>
      </c>
      <c r="D44" s="1"/>
      <c r="E44" s="1"/>
      <c r="F44" s="1"/>
      <c r="G44" s="253" t="s">
        <v>128</v>
      </c>
      <c r="H44" s="1"/>
      <c r="I44" s="1"/>
      <c r="J44" s="1"/>
      <c r="K44" s="1"/>
      <c r="L44" s="1"/>
      <c r="M44" s="2" t="s">
        <v>279</v>
      </c>
      <c r="N44" s="1"/>
      <c r="O44" s="1"/>
      <c r="P44" s="1"/>
      <c r="Q44" s="253" t="s">
        <v>128</v>
      </c>
      <c r="R44" s="1"/>
      <c r="S44" s="1"/>
      <c r="T44" s="1"/>
    </row>
    <row r="45" spans="1:20" x14ac:dyDescent="0.25">
      <c r="A45" s="1"/>
      <c r="B45" s="1"/>
      <c r="C45" s="2"/>
      <c r="D45" s="1"/>
      <c r="E45" s="1"/>
      <c r="F45" s="1"/>
      <c r="G45" s="230"/>
      <c r="H45" s="1"/>
      <c r="I45" s="1"/>
      <c r="J45" s="1"/>
      <c r="K45" s="1"/>
      <c r="L45" s="1"/>
      <c r="M45" s="2"/>
      <c r="N45" s="1"/>
      <c r="O45" s="1"/>
      <c r="P45" s="1"/>
      <c r="Q45" s="230"/>
      <c r="R45" s="1"/>
      <c r="S45" s="1"/>
      <c r="T45" s="1"/>
    </row>
    <row r="47" spans="1:20" x14ac:dyDescent="0.25">
      <c r="A47" s="1" t="s">
        <v>76</v>
      </c>
      <c r="B47" s="1"/>
      <c r="C47" s="1"/>
      <c r="D47" s="1"/>
      <c r="E47" s="1"/>
      <c r="F47" s="1"/>
      <c r="G47" s="1"/>
      <c r="H47" s="1"/>
      <c r="I47" s="1"/>
      <c r="J47" s="1"/>
      <c r="K47" s="1" t="s">
        <v>76</v>
      </c>
      <c r="L47" s="1"/>
      <c r="M47" s="1"/>
      <c r="N47" s="1"/>
      <c r="O47" s="1"/>
      <c r="P47" s="1"/>
      <c r="Q47" s="1"/>
      <c r="R47" s="1"/>
      <c r="S47" s="1"/>
      <c r="T47" s="1"/>
    </row>
    <row r="49" spans="1:20" x14ac:dyDescent="0.25">
      <c r="A49" s="4" t="s">
        <v>69</v>
      </c>
      <c r="B49" s="240">
        <v>4.0999999999999999E-4</v>
      </c>
      <c r="C49" s="241" t="s">
        <v>70</v>
      </c>
      <c r="D49" s="242">
        <f>B13</f>
        <v>0</v>
      </c>
      <c r="E49" s="241" t="s">
        <v>71</v>
      </c>
      <c r="F49" s="240">
        <v>0.13800000000000001</v>
      </c>
      <c r="G49" s="241" t="s">
        <v>86</v>
      </c>
      <c r="H49" s="1031" t="s">
        <v>72</v>
      </c>
      <c r="I49" s="1032"/>
      <c r="J49" s="1"/>
      <c r="K49" s="4" t="s">
        <v>69</v>
      </c>
      <c r="L49" s="240">
        <v>4.0999999999999999E-4</v>
      </c>
      <c r="M49" s="241" t="s">
        <v>70</v>
      </c>
      <c r="N49" s="242">
        <f>L13</f>
        <v>0</v>
      </c>
      <c r="O49" s="241" t="s">
        <v>71</v>
      </c>
      <c r="P49" s="240">
        <v>0.13800000000000001</v>
      </c>
      <c r="Q49" s="241" t="s">
        <v>86</v>
      </c>
      <c r="R49" s="1031" t="s">
        <v>72</v>
      </c>
      <c r="S49" s="1032"/>
      <c r="T49" s="1"/>
    </row>
    <row r="50" spans="1:20" x14ac:dyDescent="0.25">
      <c r="A50" s="1"/>
      <c r="B50" s="1030" t="s">
        <v>86</v>
      </c>
      <c r="C50" s="927"/>
      <c r="D50" s="1030" t="s">
        <v>279</v>
      </c>
      <c r="E50" s="927"/>
      <c r="F50" s="1030" t="s">
        <v>71</v>
      </c>
      <c r="G50" s="927"/>
      <c r="H50" s="243">
        <v>2000</v>
      </c>
      <c r="I50" s="1" t="s">
        <v>70</v>
      </c>
      <c r="J50" s="1"/>
      <c r="K50" s="1"/>
      <c r="L50" s="1030" t="s">
        <v>86</v>
      </c>
      <c r="M50" s="927"/>
      <c r="N50" s="1030" t="s">
        <v>279</v>
      </c>
      <c r="O50" s="927"/>
      <c r="P50" s="1030" t="s">
        <v>71</v>
      </c>
      <c r="Q50" s="927"/>
      <c r="R50" s="243">
        <v>2000</v>
      </c>
      <c r="S50" s="1" t="s">
        <v>70</v>
      </c>
      <c r="T50" s="1"/>
    </row>
    <row r="53" spans="1:20" x14ac:dyDescent="0.25">
      <c r="A53" s="4" t="s">
        <v>69</v>
      </c>
      <c r="B53" s="238">
        <f>(B49*D49*F49)/H50</f>
        <v>0</v>
      </c>
      <c r="C53" s="5" t="s">
        <v>72</v>
      </c>
      <c r="D53" s="1"/>
      <c r="E53" s="230" t="s">
        <v>69</v>
      </c>
      <c r="F53" s="238">
        <f>B53*2000/8760</f>
        <v>0</v>
      </c>
      <c r="G53" s="78" t="s">
        <v>118</v>
      </c>
      <c r="H53" s="1"/>
      <c r="I53" s="1"/>
      <c r="J53" s="1"/>
      <c r="K53" s="4" t="s">
        <v>69</v>
      </c>
      <c r="L53" s="238">
        <f>(L49*N49*P49)/R50</f>
        <v>0</v>
      </c>
      <c r="M53" s="5" t="s">
        <v>72</v>
      </c>
      <c r="N53" s="1"/>
      <c r="O53" s="230" t="s">
        <v>69</v>
      </c>
      <c r="P53" s="238">
        <f>L53*2000/8760</f>
        <v>0</v>
      </c>
      <c r="Q53" s="78" t="s">
        <v>118</v>
      </c>
      <c r="R53" s="1"/>
      <c r="S53" s="1"/>
      <c r="T53" s="1"/>
    </row>
    <row r="54" spans="1:20" x14ac:dyDescent="0.25">
      <c r="A54" s="1"/>
      <c r="B54" s="1"/>
      <c r="C54" s="2" t="s">
        <v>279</v>
      </c>
      <c r="D54" s="1"/>
      <c r="E54" s="1"/>
      <c r="F54" s="1"/>
      <c r="G54" s="253" t="s">
        <v>128</v>
      </c>
      <c r="H54" s="1"/>
      <c r="I54" s="1"/>
      <c r="J54" s="1"/>
      <c r="K54" s="1"/>
      <c r="L54" s="1"/>
      <c r="M54" s="2" t="s">
        <v>279</v>
      </c>
      <c r="N54" s="1"/>
      <c r="O54" s="1"/>
      <c r="P54" s="1"/>
      <c r="Q54" s="253" t="s">
        <v>128</v>
      </c>
      <c r="R54" s="1"/>
      <c r="S54" s="1"/>
      <c r="T54" s="1"/>
    </row>
    <row r="57" spans="1:20" x14ac:dyDescent="0.25">
      <c r="A57" s="1" t="s">
        <v>77</v>
      </c>
      <c r="B57" s="1"/>
      <c r="C57" s="1"/>
      <c r="D57" s="1"/>
      <c r="E57" s="1"/>
      <c r="F57" s="1"/>
      <c r="G57" s="1"/>
      <c r="H57" s="1"/>
      <c r="I57" s="1"/>
      <c r="J57" s="1"/>
      <c r="K57" s="1" t="s">
        <v>77</v>
      </c>
      <c r="L57" s="1"/>
      <c r="M57" s="1"/>
      <c r="N57" s="1"/>
      <c r="O57" s="1"/>
      <c r="P57" s="1"/>
      <c r="Q57" s="1"/>
      <c r="R57" s="1"/>
      <c r="S57" s="1"/>
      <c r="T57" s="1"/>
    </row>
    <row r="59" spans="1:20" x14ac:dyDescent="0.25">
      <c r="A59" s="4" t="s">
        <v>69</v>
      </c>
      <c r="B59" s="240">
        <v>3.3E-3</v>
      </c>
      <c r="C59" s="241" t="s">
        <v>70</v>
      </c>
      <c r="D59" s="242">
        <f>B13</f>
        <v>0</v>
      </c>
      <c r="E59" s="241" t="s">
        <v>71</v>
      </c>
      <c r="F59" s="240">
        <v>0.13800000000000001</v>
      </c>
      <c r="G59" s="241" t="s">
        <v>86</v>
      </c>
      <c r="H59" s="1031" t="s">
        <v>72</v>
      </c>
      <c r="I59" s="1032"/>
      <c r="J59" s="1"/>
      <c r="K59" s="4" t="s">
        <v>69</v>
      </c>
      <c r="L59" s="240">
        <v>3.3E-3</v>
      </c>
      <c r="M59" s="241" t="s">
        <v>70</v>
      </c>
      <c r="N59" s="242">
        <f>L13</f>
        <v>0</v>
      </c>
      <c r="O59" s="241" t="s">
        <v>71</v>
      </c>
      <c r="P59" s="240">
        <v>0.13800000000000001</v>
      </c>
      <c r="Q59" s="241" t="s">
        <v>86</v>
      </c>
      <c r="R59" s="1031" t="s">
        <v>72</v>
      </c>
      <c r="S59" s="1032"/>
      <c r="T59" s="1"/>
    </row>
    <row r="60" spans="1:20" x14ac:dyDescent="0.25">
      <c r="A60" s="1"/>
      <c r="B60" s="1030" t="s">
        <v>86</v>
      </c>
      <c r="C60" s="927"/>
      <c r="D60" s="1030" t="s">
        <v>279</v>
      </c>
      <c r="E60" s="927"/>
      <c r="F60" s="1030" t="s">
        <v>71</v>
      </c>
      <c r="G60" s="927"/>
      <c r="H60" s="243">
        <v>2000</v>
      </c>
      <c r="I60" s="1" t="s">
        <v>70</v>
      </c>
      <c r="J60" s="1"/>
      <c r="K60" s="1"/>
      <c r="L60" s="1030" t="s">
        <v>86</v>
      </c>
      <c r="M60" s="927"/>
      <c r="N60" s="1030" t="s">
        <v>279</v>
      </c>
      <c r="O60" s="927"/>
      <c r="P60" s="1030" t="s">
        <v>71</v>
      </c>
      <c r="Q60" s="927"/>
      <c r="R60" s="243">
        <v>2000</v>
      </c>
      <c r="S60" s="1" t="s">
        <v>70</v>
      </c>
      <c r="T60" s="1"/>
    </row>
    <row r="63" spans="1:20" x14ac:dyDescent="0.25">
      <c r="A63" s="4" t="s">
        <v>69</v>
      </c>
      <c r="B63" s="238">
        <f>(B59*D59*F59)/H60</f>
        <v>0</v>
      </c>
      <c r="C63" s="5" t="s">
        <v>72</v>
      </c>
      <c r="D63" s="1"/>
      <c r="E63" s="230" t="s">
        <v>69</v>
      </c>
      <c r="F63" s="238">
        <f>B63*2000/8760</f>
        <v>0</v>
      </c>
      <c r="G63" s="78" t="s">
        <v>118</v>
      </c>
      <c r="H63" s="1"/>
      <c r="I63" s="1"/>
      <c r="J63" s="1"/>
      <c r="K63" s="4" t="s">
        <v>69</v>
      </c>
      <c r="L63" s="238">
        <f>(L59*N59*P59)/R60</f>
        <v>0</v>
      </c>
      <c r="M63" s="5" t="s">
        <v>72</v>
      </c>
      <c r="N63" s="1"/>
      <c r="O63" s="230" t="s">
        <v>69</v>
      </c>
      <c r="P63" s="238">
        <f>L63*2000/8760</f>
        <v>0</v>
      </c>
      <c r="Q63" s="78" t="s">
        <v>118</v>
      </c>
      <c r="R63" s="1"/>
      <c r="S63" s="1"/>
      <c r="T63" s="1"/>
    </row>
    <row r="64" spans="1:20" x14ac:dyDescent="0.25">
      <c r="A64" s="1"/>
      <c r="B64" s="1"/>
      <c r="C64" s="2" t="s">
        <v>279</v>
      </c>
      <c r="D64" s="1"/>
      <c r="E64" s="1"/>
      <c r="F64" s="1"/>
      <c r="G64" s="253" t="s">
        <v>128</v>
      </c>
      <c r="H64" s="1"/>
      <c r="I64" s="1"/>
      <c r="J64" s="1"/>
      <c r="K64" s="1"/>
      <c r="L64" s="1"/>
      <c r="M64" s="2" t="s">
        <v>279</v>
      </c>
      <c r="N64" s="1"/>
      <c r="O64" s="1"/>
      <c r="P64" s="1"/>
      <c r="Q64" s="253" t="s">
        <v>128</v>
      </c>
      <c r="R64" s="1"/>
      <c r="S64" s="1"/>
      <c r="T64" s="1"/>
    </row>
    <row r="67" spans="1:20" x14ac:dyDescent="0.25">
      <c r="A67" s="1" t="s">
        <v>78</v>
      </c>
      <c r="B67" s="1"/>
      <c r="C67" s="1"/>
      <c r="D67" s="1"/>
      <c r="E67" s="1"/>
      <c r="F67" s="1"/>
      <c r="G67" s="1"/>
      <c r="H67" s="1"/>
      <c r="I67" s="1"/>
      <c r="J67" s="1"/>
      <c r="K67" s="1" t="s">
        <v>78</v>
      </c>
      <c r="L67" s="1"/>
      <c r="M67" s="1"/>
      <c r="N67" s="1"/>
      <c r="O67" s="1"/>
      <c r="P67" s="1"/>
      <c r="Q67" s="1"/>
      <c r="R67" s="1"/>
      <c r="S67" s="1"/>
      <c r="T67" s="1"/>
    </row>
    <row r="69" spans="1:20" x14ac:dyDescent="0.25">
      <c r="A69" s="4" t="s">
        <v>69</v>
      </c>
      <c r="B69" s="240">
        <v>1.4E-5</v>
      </c>
      <c r="C69" s="241" t="s">
        <v>70</v>
      </c>
      <c r="D69" s="242">
        <f>B13</f>
        <v>0</v>
      </c>
      <c r="E69" s="241" t="s">
        <v>71</v>
      </c>
      <c r="F69" s="240">
        <v>0.13800000000000001</v>
      </c>
      <c r="G69" s="241" t="s">
        <v>86</v>
      </c>
      <c r="H69" s="1031" t="s">
        <v>72</v>
      </c>
      <c r="I69" s="1032"/>
      <c r="J69" s="1"/>
      <c r="K69" s="4" t="s">
        <v>69</v>
      </c>
      <c r="L69" s="240">
        <v>1.4E-5</v>
      </c>
      <c r="M69" s="241" t="s">
        <v>70</v>
      </c>
      <c r="N69" s="242">
        <f>L13</f>
        <v>0</v>
      </c>
      <c r="O69" s="241" t="s">
        <v>71</v>
      </c>
      <c r="P69" s="240">
        <v>0.13800000000000001</v>
      </c>
      <c r="Q69" s="241" t="s">
        <v>86</v>
      </c>
      <c r="R69" s="1031" t="s">
        <v>72</v>
      </c>
      <c r="S69" s="1032"/>
      <c r="T69" s="1"/>
    </row>
    <row r="70" spans="1:20" x14ac:dyDescent="0.25">
      <c r="A70" s="1"/>
      <c r="B70" s="1030" t="s">
        <v>86</v>
      </c>
      <c r="C70" s="927"/>
      <c r="D70" s="1030" t="s">
        <v>279</v>
      </c>
      <c r="E70" s="927"/>
      <c r="F70" s="1030" t="s">
        <v>71</v>
      </c>
      <c r="G70" s="927"/>
      <c r="H70" s="243">
        <v>2000</v>
      </c>
      <c r="I70" s="1" t="s">
        <v>70</v>
      </c>
      <c r="J70" s="1"/>
      <c r="K70" s="1"/>
      <c r="L70" s="1030" t="s">
        <v>86</v>
      </c>
      <c r="M70" s="927"/>
      <c r="N70" s="1030" t="s">
        <v>279</v>
      </c>
      <c r="O70" s="927"/>
      <c r="P70" s="1030" t="s">
        <v>71</v>
      </c>
      <c r="Q70" s="927"/>
      <c r="R70" s="243">
        <v>2000</v>
      </c>
      <c r="S70" s="1" t="s">
        <v>70</v>
      </c>
      <c r="T70" s="1"/>
    </row>
    <row r="73" spans="1:20" x14ac:dyDescent="0.25">
      <c r="A73" s="4" t="s">
        <v>69</v>
      </c>
      <c r="B73" s="238">
        <f>(B69*D69*F69)/H70</f>
        <v>0</v>
      </c>
      <c r="C73" s="5" t="s">
        <v>72</v>
      </c>
      <c r="D73" s="1"/>
      <c r="E73" s="230" t="s">
        <v>69</v>
      </c>
      <c r="F73" s="238">
        <f>B73*2000/8760</f>
        <v>0</v>
      </c>
      <c r="G73" s="78" t="s">
        <v>118</v>
      </c>
      <c r="H73" s="1"/>
      <c r="I73" s="1"/>
      <c r="J73" s="1"/>
      <c r="K73" s="4" t="s">
        <v>69</v>
      </c>
      <c r="L73" s="238">
        <f>(L69*N69*P69)/R70</f>
        <v>0</v>
      </c>
      <c r="M73" s="5" t="s">
        <v>72</v>
      </c>
      <c r="N73" s="1"/>
      <c r="O73" s="230" t="s">
        <v>69</v>
      </c>
      <c r="P73" s="238">
        <f>L73*2000/8760</f>
        <v>0</v>
      </c>
      <c r="Q73" s="78" t="s">
        <v>118</v>
      </c>
      <c r="R73" s="1"/>
      <c r="S73" s="1"/>
      <c r="T73" s="1"/>
    </row>
    <row r="74" spans="1:20" x14ac:dyDescent="0.25">
      <c r="A74" s="1"/>
      <c r="B74" s="1"/>
      <c r="C74" s="2" t="s">
        <v>279</v>
      </c>
      <c r="D74" s="1"/>
      <c r="E74" s="1"/>
      <c r="F74" s="1"/>
      <c r="G74" s="253" t="s">
        <v>128</v>
      </c>
      <c r="H74" s="1"/>
      <c r="I74" s="1"/>
      <c r="J74" s="1"/>
      <c r="K74" s="1"/>
      <c r="L74" s="1"/>
      <c r="M74" s="2" t="s">
        <v>279</v>
      </c>
      <c r="N74" s="1"/>
      <c r="O74" s="1"/>
      <c r="P74" s="1"/>
      <c r="Q74" s="253" t="s">
        <v>128</v>
      </c>
      <c r="R74" s="1"/>
      <c r="S74" s="1"/>
      <c r="T74" s="1"/>
    </row>
    <row r="77" spans="1:20" x14ac:dyDescent="0.25">
      <c r="A77" s="323" t="s">
        <v>334</v>
      </c>
      <c r="B77" s="24"/>
      <c r="C77" s="24"/>
      <c r="D77" s="24"/>
      <c r="E77" s="24"/>
      <c r="F77" s="24"/>
      <c r="G77" s="24"/>
      <c r="K77" s="323" t="s">
        <v>334</v>
      </c>
      <c r="L77" s="24"/>
      <c r="M77" s="24"/>
      <c r="N77" s="24"/>
      <c r="O77" s="24"/>
      <c r="P77" s="24"/>
      <c r="Q77" s="24"/>
    </row>
    <row r="79" spans="1:20" x14ac:dyDescent="0.25">
      <c r="A79" s="28" t="s">
        <v>69</v>
      </c>
      <c r="B79" s="490">
        <f>V14</f>
        <v>22.578420600240001</v>
      </c>
      <c r="C79" s="65" t="s">
        <v>70</v>
      </c>
      <c r="D79" s="95">
        <f>D69</f>
        <v>0</v>
      </c>
      <c r="E79" s="65" t="s">
        <v>71</v>
      </c>
      <c r="F79" s="97"/>
      <c r="G79" s="121" t="s">
        <v>72</v>
      </c>
      <c r="K79" s="28" t="s">
        <v>69</v>
      </c>
      <c r="L79" s="490">
        <f>V14</f>
        <v>22.578420600240001</v>
      </c>
      <c r="M79" s="65" t="s">
        <v>70</v>
      </c>
      <c r="N79" s="95">
        <f>N69</f>
        <v>0</v>
      </c>
      <c r="O79" s="65" t="s">
        <v>71</v>
      </c>
      <c r="P79" s="97"/>
      <c r="Q79" s="121" t="s">
        <v>72</v>
      </c>
    </row>
    <row r="80" spans="1:20" x14ac:dyDescent="0.25">
      <c r="A80" s="24"/>
      <c r="B80" s="120"/>
      <c r="C80" s="519" t="s">
        <v>71</v>
      </c>
      <c r="D80" s="96"/>
      <c r="E80" s="57" t="s">
        <v>279</v>
      </c>
      <c r="F80" s="56">
        <v>2000</v>
      </c>
      <c r="G80" s="115" t="s">
        <v>70</v>
      </c>
      <c r="K80" s="24"/>
      <c r="L80" s="120"/>
      <c r="M80" s="519" t="s">
        <v>71</v>
      </c>
      <c r="N80" s="96"/>
      <c r="O80" s="57" t="s">
        <v>279</v>
      </c>
      <c r="P80" s="56">
        <v>2000</v>
      </c>
      <c r="Q80" s="115" t="s">
        <v>70</v>
      </c>
    </row>
    <row r="83" spans="1:17" x14ac:dyDescent="0.25">
      <c r="A83" s="28" t="s">
        <v>69</v>
      </c>
      <c r="B83" s="64">
        <f>B79*D79/F80</f>
        <v>0</v>
      </c>
      <c r="C83" s="29" t="s">
        <v>72</v>
      </c>
      <c r="D83" s="28" t="s">
        <v>69</v>
      </c>
      <c r="E83" s="64">
        <f>B83*(2000/8760)</f>
        <v>0</v>
      </c>
      <c r="F83" s="29" t="s">
        <v>70</v>
      </c>
      <c r="G83" s="24"/>
      <c r="K83" s="28" t="s">
        <v>69</v>
      </c>
      <c r="L83" s="64">
        <f>L79*N79/P80</f>
        <v>0</v>
      </c>
      <c r="M83" s="29" t="s">
        <v>72</v>
      </c>
      <c r="N83" s="28" t="s">
        <v>69</v>
      </c>
      <c r="O83" s="64">
        <f>L83*(2000/8760)</f>
        <v>0</v>
      </c>
      <c r="P83" s="29" t="s">
        <v>70</v>
      </c>
      <c r="Q83" s="24"/>
    </row>
    <row r="84" spans="1:17" x14ac:dyDescent="0.25">
      <c r="A84" s="24"/>
      <c r="B84" s="24"/>
      <c r="C84" s="26" t="s">
        <v>279</v>
      </c>
      <c r="D84" s="24"/>
      <c r="E84" s="24"/>
      <c r="F84" s="26" t="s">
        <v>128</v>
      </c>
      <c r="G84" s="24"/>
      <c r="K84" s="24"/>
      <c r="L84" s="24"/>
      <c r="M84" s="26" t="s">
        <v>279</v>
      </c>
      <c r="N84" s="24"/>
      <c r="O84" s="24"/>
      <c r="P84" s="26" t="s">
        <v>128</v>
      </c>
      <c r="Q84" s="24"/>
    </row>
  </sheetData>
  <mergeCells count="54">
    <mergeCell ref="K1:S1"/>
    <mergeCell ref="B40:C40"/>
    <mergeCell ref="D40:E40"/>
    <mergeCell ref="F40:G40"/>
    <mergeCell ref="A1:J1"/>
    <mergeCell ref="H19:I19"/>
    <mergeCell ref="B20:C20"/>
    <mergeCell ref="D20:E20"/>
    <mergeCell ref="F20:G20"/>
    <mergeCell ref="A3:D3"/>
    <mergeCell ref="A4:D4"/>
    <mergeCell ref="H29:I29"/>
    <mergeCell ref="B30:C30"/>
    <mergeCell ref="D30:E30"/>
    <mergeCell ref="F30:G30"/>
    <mergeCell ref="H39:I39"/>
    <mergeCell ref="K3:N3"/>
    <mergeCell ref="K4:N4"/>
    <mergeCell ref="R19:S19"/>
    <mergeCell ref="L20:M20"/>
    <mergeCell ref="N20:O20"/>
    <mergeCell ref="P20:Q20"/>
    <mergeCell ref="R29:S29"/>
    <mergeCell ref="L30:M30"/>
    <mergeCell ref="N30:O30"/>
    <mergeCell ref="P30:Q30"/>
    <mergeCell ref="R39:S39"/>
    <mergeCell ref="L40:M40"/>
    <mergeCell ref="N40:O40"/>
    <mergeCell ref="P40:Q40"/>
    <mergeCell ref="R49:S49"/>
    <mergeCell ref="L50:M50"/>
    <mergeCell ref="N50:O50"/>
    <mergeCell ref="P50:Q50"/>
    <mergeCell ref="H69:I69"/>
    <mergeCell ref="B70:C70"/>
    <mergeCell ref="D70:E70"/>
    <mergeCell ref="F70:G70"/>
    <mergeCell ref="H49:I49"/>
    <mergeCell ref="B50:C50"/>
    <mergeCell ref="D50:E50"/>
    <mergeCell ref="F50:G50"/>
    <mergeCell ref="H59:I59"/>
    <mergeCell ref="B60:C60"/>
    <mergeCell ref="D60:E60"/>
    <mergeCell ref="F60:G60"/>
    <mergeCell ref="L70:M70"/>
    <mergeCell ref="N70:O70"/>
    <mergeCell ref="P70:Q70"/>
    <mergeCell ref="R59:S59"/>
    <mergeCell ref="L60:M60"/>
    <mergeCell ref="N60:O60"/>
    <mergeCell ref="P60:Q60"/>
    <mergeCell ref="R69:S69"/>
  </mergeCells>
  <pageMargins left="0.7" right="0.7" top="0.75" bottom="0.75" header="0.3" footer="0.3"/>
  <pageSetup scale="85" fitToWidth="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D31"/>
  <sheetViews>
    <sheetView view="pageLayout" zoomScaleNormal="100" workbookViewId="0">
      <selection activeCell="C23" sqref="C23"/>
    </sheetView>
  </sheetViews>
  <sheetFormatPr defaultColWidth="10.28515625" defaultRowHeight="12.75" x14ac:dyDescent="0.2"/>
  <cols>
    <col min="1" max="1" width="10.28515625" style="1" customWidth="1"/>
    <col min="2" max="2" width="19.7109375" style="1" customWidth="1"/>
    <col min="3" max="3" width="26.7109375" style="1" customWidth="1"/>
    <col min="4" max="4" width="29.7109375" style="1" customWidth="1"/>
    <col min="5" max="16384" width="10.28515625" style="1"/>
  </cols>
  <sheetData>
    <row r="1" spans="1:4" ht="15.75" x14ac:dyDescent="0.25">
      <c r="A1" s="75"/>
    </row>
    <row r="2" spans="1:4" ht="15.75" x14ac:dyDescent="0.25">
      <c r="A2" s="75"/>
    </row>
    <row r="3" spans="1:4" ht="15.75" x14ac:dyDescent="0.25">
      <c r="A3" s="926" t="s">
        <v>94</v>
      </c>
      <c r="B3" s="926"/>
      <c r="C3" s="926"/>
      <c r="D3" s="926"/>
    </row>
    <row r="4" spans="1:4" ht="15.75" x14ac:dyDescent="0.25">
      <c r="A4" s="75"/>
    </row>
    <row r="5" spans="1:4" x14ac:dyDescent="0.2">
      <c r="A5" s="927" t="s">
        <v>95</v>
      </c>
      <c r="B5" s="927"/>
      <c r="C5" s="927"/>
      <c r="D5" s="927"/>
    </row>
    <row r="6" spans="1:4" x14ac:dyDescent="0.2">
      <c r="A6" s="927" t="s">
        <v>237</v>
      </c>
      <c r="B6" s="927"/>
      <c r="C6" s="927"/>
      <c r="D6" s="927"/>
    </row>
    <row r="7" spans="1:4" x14ac:dyDescent="0.2">
      <c r="A7" s="927" t="s">
        <v>370</v>
      </c>
      <c r="B7" s="927"/>
      <c r="C7" s="927"/>
      <c r="D7" s="927"/>
    </row>
    <row r="8" spans="1:4" x14ac:dyDescent="0.2">
      <c r="A8" s="2"/>
      <c r="B8" s="2"/>
      <c r="C8" s="2"/>
      <c r="D8" s="2"/>
    </row>
    <row r="9" spans="1:4" x14ac:dyDescent="0.2">
      <c r="A9" s="2"/>
      <c r="B9" s="2"/>
      <c r="C9" s="302" t="s">
        <v>397</v>
      </c>
      <c r="D9" s="2"/>
    </row>
    <row r="10" spans="1:4" ht="16.5" thickBot="1" x14ac:dyDescent="0.3">
      <c r="A10" s="76"/>
    </row>
    <row r="11" spans="1:4" ht="13.5" thickTop="1" x14ac:dyDescent="0.2">
      <c r="A11" s="922" t="s">
        <v>139</v>
      </c>
      <c r="B11" s="923"/>
      <c r="C11" s="307" t="s">
        <v>98</v>
      </c>
      <c r="D11" s="80" t="s">
        <v>98</v>
      </c>
    </row>
    <row r="12" spans="1:4" ht="13.5" thickBot="1" x14ac:dyDescent="0.25">
      <c r="A12" s="924"/>
      <c r="B12" s="925"/>
      <c r="C12" s="306" t="s">
        <v>99</v>
      </c>
      <c r="D12" s="82" t="s">
        <v>100</v>
      </c>
    </row>
    <row r="13" spans="1:4" ht="16.5" thickTop="1" x14ac:dyDescent="0.25">
      <c r="A13" s="1040" t="s">
        <v>54</v>
      </c>
      <c r="B13" s="1041"/>
      <c r="C13" s="83">
        <v>9.41</v>
      </c>
      <c r="D13" s="303">
        <f>'Cálculos Vega Baja'!B23+'Cálculos Vega Baja'!L23</f>
        <v>0</v>
      </c>
    </row>
    <row r="14" spans="1:4" ht="15.75" x14ac:dyDescent="0.25">
      <c r="A14" s="1039" t="s">
        <v>56</v>
      </c>
      <c r="B14" s="1039"/>
      <c r="C14" s="305">
        <v>395.87</v>
      </c>
      <c r="D14" s="303">
        <f>'Cálculos Vega Baja'!B33+'Cálculos Vega Baja'!L33</f>
        <v>0</v>
      </c>
    </row>
    <row r="15" spans="1:4" ht="15.75" x14ac:dyDescent="0.25">
      <c r="A15" s="1039" t="s">
        <v>57</v>
      </c>
      <c r="B15" s="1039"/>
      <c r="C15" s="305">
        <v>689.83</v>
      </c>
      <c r="D15" s="303">
        <f>'Cálculos Vega Baja'!B43+'Cálculos Vega Baja'!L43</f>
        <v>0</v>
      </c>
    </row>
    <row r="16" spans="1:4" ht="15.75" x14ac:dyDescent="0.25">
      <c r="A16" s="1039" t="s">
        <v>59</v>
      </c>
      <c r="B16" s="1039"/>
      <c r="C16" s="305">
        <v>0.32</v>
      </c>
      <c r="D16" s="303">
        <f>'Cálculos Vega Baja'!B53+'Cálculos Vega Baja'!L53</f>
        <v>0</v>
      </c>
    </row>
    <row r="17" spans="1:4" ht="15.75" x14ac:dyDescent="0.25">
      <c r="A17" s="1039" t="s">
        <v>61</v>
      </c>
      <c r="B17" s="1039"/>
      <c r="C17" s="83">
        <v>2.59</v>
      </c>
      <c r="D17" s="303">
        <f>'Cálculos Vega Baja'!B63+'Cálculos Vega Baja'!L63</f>
        <v>0</v>
      </c>
    </row>
    <row r="18" spans="1:4" ht="15.75" x14ac:dyDescent="0.25">
      <c r="A18" s="1039" t="s">
        <v>102</v>
      </c>
      <c r="B18" s="1039"/>
      <c r="C18" s="304">
        <v>1.0999999999999999E-2</v>
      </c>
      <c r="D18" s="303">
        <f>'Cálculos Vega Baja'!B73+'Cálculos Vega Baja'!L73</f>
        <v>0</v>
      </c>
    </row>
    <row r="19" spans="1:4" customFormat="1" ht="18.75" x14ac:dyDescent="0.25">
      <c r="A19" s="876" t="s">
        <v>317</v>
      </c>
      <c r="B19" s="876"/>
      <c r="C19" s="74"/>
      <c r="D19" s="54">
        <f>'Cálculos Vega Baja'!B83+'Cálculos Vega Baja'!L83</f>
        <v>0</v>
      </c>
    </row>
    <row r="20" spans="1:4" ht="15.75" x14ac:dyDescent="0.25">
      <c r="A20" s="76"/>
    </row>
    <row r="21" spans="1:4" ht="15.75" x14ac:dyDescent="0.25">
      <c r="A21" s="76" t="s">
        <v>103</v>
      </c>
    </row>
    <row r="22" spans="1:4" ht="15.75" x14ac:dyDescent="0.25">
      <c r="A22" s="76" t="s">
        <v>104</v>
      </c>
    </row>
    <row r="23" spans="1:4" ht="15.75" x14ac:dyDescent="0.25">
      <c r="A23" s="76" t="s">
        <v>105</v>
      </c>
    </row>
    <row r="24" spans="1:4" ht="15.75" x14ac:dyDescent="0.25">
      <c r="A24" s="76" t="s">
        <v>106</v>
      </c>
    </row>
    <row r="25" spans="1:4" ht="15.75" x14ac:dyDescent="0.25">
      <c r="A25" s="76"/>
    </row>
    <row r="26" spans="1:4" ht="15.75" x14ac:dyDescent="0.25">
      <c r="A26" s="76" t="s">
        <v>107</v>
      </c>
    </row>
    <row r="27" spans="1:4" ht="15.75" x14ac:dyDescent="0.25">
      <c r="A27" s="76"/>
    </row>
    <row r="28" spans="1:4" ht="15.75" x14ac:dyDescent="0.25">
      <c r="A28" s="76" t="s">
        <v>108</v>
      </c>
    </row>
    <row r="29" spans="1:4" ht="15.75" x14ac:dyDescent="0.25">
      <c r="A29" s="76" t="s">
        <v>109</v>
      </c>
    </row>
    <row r="31" spans="1:4" ht="15.75" x14ac:dyDescent="0.25">
      <c r="A31" s="51" t="s">
        <v>312</v>
      </c>
    </row>
  </sheetData>
  <mergeCells count="12">
    <mergeCell ref="A19:B19"/>
    <mergeCell ref="A18:B18"/>
    <mergeCell ref="A13:B13"/>
    <mergeCell ref="A14:B14"/>
    <mergeCell ref="A15:B15"/>
    <mergeCell ref="A16:B16"/>
    <mergeCell ref="A17:B17"/>
    <mergeCell ref="A3:D3"/>
    <mergeCell ref="A11:B12"/>
    <mergeCell ref="A7:D7"/>
    <mergeCell ref="A6:D6"/>
    <mergeCell ref="A5:D5"/>
  </mergeCells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A1:W84"/>
  <sheetViews>
    <sheetView workbookViewId="0">
      <selection activeCell="K1" sqref="K1:S1"/>
    </sheetView>
  </sheetViews>
  <sheetFormatPr defaultRowHeight="15" x14ac:dyDescent="0.25"/>
  <cols>
    <col min="1" max="1" width="14.7109375" customWidth="1"/>
    <col min="2" max="2" width="12.28515625" bestFit="1" customWidth="1"/>
    <col min="3" max="3" width="12.42578125" bestFit="1" customWidth="1"/>
    <col min="4" max="4" width="9.7109375" bestFit="1" customWidth="1"/>
    <col min="11" max="11" width="13.42578125" customWidth="1"/>
    <col min="12" max="12" width="14.42578125" customWidth="1"/>
    <col min="13" max="13" width="12.42578125" bestFit="1" customWidth="1"/>
    <col min="19" max="19" width="5.5703125" customWidth="1"/>
  </cols>
  <sheetData>
    <row r="1" spans="1:23" x14ac:dyDescent="0.25">
      <c r="A1" s="893" t="s">
        <v>418</v>
      </c>
      <c r="B1" s="893"/>
      <c r="C1" s="893"/>
      <c r="D1" s="893"/>
      <c r="E1" s="893"/>
      <c r="F1" s="893"/>
      <c r="G1" s="893"/>
      <c r="H1" s="893"/>
      <c r="I1" s="893"/>
      <c r="K1" s="893" t="s">
        <v>419</v>
      </c>
      <c r="L1" s="893"/>
      <c r="M1" s="893"/>
      <c r="N1" s="893"/>
      <c r="O1" s="893"/>
      <c r="P1" s="893"/>
      <c r="Q1" s="893"/>
      <c r="R1" s="893"/>
      <c r="S1" s="893"/>
    </row>
    <row r="2" spans="1:23" ht="15.75" thickBot="1" x14ac:dyDescent="0.3"/>
    <row r="3" spans="1:23" x14ac:dyDescent="0.25">
      <c r="A3" s="1021" t="s">
        <v>319</v>
      </c>
      <c r="B3" s="1022"/>
      <c r="C3" s="1023"/>
      <c r="K3" s="1021" t="s">
        <v>319</v>
      </c>
      <c r="L3" s="1022"/>
      <c r="M3" s="1023"/>
    </row>
    <row r="4" spans="1:23" ht="15.75" thickBot="1" x14ac:dyDescent="0.3">
      <c r="A4" s="1024" t="s">
        <v>218</v>
      </c>
      <c r="B4" s="1025"/>
      <c r="C4" s="1026"/>
      <c r="K4" s="1024" t="s">
        <v>218</v>
      </c>
      <c r="L4" s="1025"/>
      <c r="M4" s="1026"/>
    </row>
    <row r="5" spans="1:23" ht="18" x14ac:dyDescent="0.35">
      <c r="A5" s="221" t="s">
        <v>222</v>
      </c>
      <c r="B5" s="212">
        <v>1.2E-2</v>
      </c>
      <c r="C5" s="213" t="s">
        <v>219</v>
      </c>
      <c r="K5" s="221" t="s">
        <v>222</v>
      </c>
      <c r="L5" s="212">
        <v>1.2E-2</v>
      </c>
      <c r="M5" s="213" t="s">
        <v>219</v>
      </c>
    </row>
    <row r="6" spans="1:23" x14ac:dyDescent="0.25">
      <c r="A6" s="256" t="s">
        <v>56</v>
      </c>
      <c r="B6" s="215">
        <v>1.01</v>
      </c>
      <c r="C6" s="216" t="s">
        <v>220</v>
      </c>
      <c r="K6" s="256" t="s">
        <v>56</v>
      </c>
      <c r="L6" s="215">
        <v>1.01</v>
      </c>
      <c r="M6" s="216" t="s">
        <v>220</v>
      </c>
    </row>
    <row r="7" spans="1:23" x14ac:dyDescent="0.25">
      <c r="A7" s="256" t="s">
        <v>57</v>
      </c>
      <c r="B7" s="215">
        <v>0.88</v>
      </c>
      <c r="C7" s="216" t="s">
        <v>219</v>
      </c>
      <c r="K7" s="256" t="s">
        <v>57</v>
      </c>
      <c r="L7" s="215">
        <v>0.88</v>
      </c>
      <c r="M7" s="216" t="s">
        <v>219</v>
      </c>
    </row>
    <row r="8" spans="1:23" x14ac:dyDescent="0.25">
      <c r="A8" s="256" t="s">
        <v>59</v>
      </c>
      <c r="B8" s="215">
        <v>4.0999999999999999E-4</v>
      </c>
      <c r="C8" s="216" t="s">
        <v>219</v>
      </c>
      <c r="K8" s="256" t="s">
        <v>59</v>
      </c>
      <c r="L8" s="215">
        <v>4.0999999999999999E-4</v>
      </c>
      <c r="M8" s="216" t="s">
        <v>219</v>
      </c>
    </row>
    <row r="9" spans="1:23" x14ac:dyDescent="0.25">
      <c r="A9" s="256" t="s">
        <v>61</v>
      </c>
      <c r="B9" s="215">
        <v>3.3E-3</v>
      </c>
      <c r="C9" s="216" t="s">
        <v>219</v>
      </c>
      <c r="K9" s="256" t="s">
        <v>61</v>
      </c>
      <c r="L9" s="215">
        <v>3.3E-3</v>
      </c>
      <c r="M9" s="216" t="s">
        <v>219</v>
      </c>
    </row>
    <row r="10" spans="1:23" ht="15.75" thickBot="1" x14ac:dyDescent="0.3">
      <c r="A10" s="223" t="s">
        <v>63</v>
      </c>
      <c r="B10" s="219">
        <v>1.4E-5</v>
      </c>
      <c r="C10" s="254" t="s">
        <v>219</v>
      </c>
      <c r="K10" s="223" t="s">
        <v>63</v>
      </c>
      <c r="L10" s="219">
        <v>1.4E-5</v>
      </c>
      <c r="M10" s="254" t="s">
        <v>219</v>
      </c>
    </row>
    <row r="11" spans="1:23" ht="15.75" thickBot="1" x14ac:dyDescent="0.3">
      <c r="A11" s="516" t="s">
        <v>328</v>
      </c>
      <c r="B11" s="517" t="s">
        <v>337</v>
      </c>
      <c r="C11" s="518" t="s">
        <v>338</v>
      </c>
      <c r="D11" s="24"/>
      <c r="E11" s="24"/>
      <c r="F11" s="24"/>
      <c r="G11" s="24"/>
      <c r="H11" s="24"/>
      <c r="I11" s="24"/>
      <c r="K11" s="516" t="s">
        <v>328</v>
      </c>
      <c r="L11" s="517" t="s">
        <v>337</v>
      </c>
      <c r="M11" s="518" t="s">
        <v>338</v>
      </c>
    </row>
    <row r="13" spans="1:23" x14ac:dyDescent="0.25">
      <c r="A13" t="s">
        <v>115</v>
      </c>
      <c r="B13" s="193">
        <f>Turbinas!N7</f>
        <v>0</v>
      </c>
      <c r="C13" t="s">
        <v>268</v>
      </c>
      <c r="D13" s="1018" t="s">
        <v>229</v>
      </c>
      <c r="E13" s="1018"/>
      <c r="F13" s="1018"/>
      <c r="G13" s="1018"/>
      <c r="H13" s="1018"/>
      <c r="K13" t="s">
        <v>115</v>
      </c>
      <c r="L13" s="193">
        <f>Turbinas!O7</f>
        <v>0</v>
      </c>
      <c r="M13" t="s">
        <v>268</v>
      </c>
      <c r="N13" s="1018" t="s">
        <v>229</v>
      </c>
      <c r="O13" s="1018"/>
      <c r="P13" s="1018"/>
      <c r="Q13" s="1018"/>
      <c r="R13" s="1018"/>
    </row>
    <row r="14" spans="1:23" x14ac:dyDescent="0.25">
      <c r="A14" t="s">
        <v>130</v>
      </c>
      <c r="B14" s="193">
        <f>Turbinas!W7</f>
        <v>0.01</v>
      </c>
      <c r="K14" t="s">
        <v>130</v>
      </c>
      <c r="L14" s="193">
        <f>Turbinas!X7</f>
        <v>0.01</v>
      </c>
      <c r="V14">
        <f>(73.96+0.003*25+0.0006*298)*2.2046*0.138</f>
        <v>22.578420600240001</v>
      </c>
      <c r="W14" t="s">
        <v>329</v>
      </c>
    </row>
    <row r="17" spans="1:19" x14ac:dyDescent="0.25">
      <c r="A17" t="s">
        <v>117</v>
      </c>
      <c r="K17" t="s">
        <v>117</v>
      </c>
    </row>
    <row r="19" spans="1:19" x14ac:dyDescent="0.25">
      <c r="A19" s="194" t="s">
        <v>69</v>
      </c>
      <c r="B19" s="195">
        <v>1.2E-2</v>
      </c>
      <c r="C19" s="196" t="s">
        <v>70</v>
      </c>
      <c r="D19" s="197">
        <f>B13</f>
        <v>0</v>
      </c>
      <c r="E19" s="196" t="s">
        <v>71</v>
      </c>
      <c r="F19" s="195">
        <v>0.13800000000000001</v>
      </c>
      <c r="G19" s="196" t="s">
        <v>86</v>
      </c>
      <c r="H19" s="1019" t="s">
        <v>72</v>
      </c>
      <c r="I19" s="1020"/>
      <c r="K19" s="194" t="s">
        <v>69</v>
      </c>
      <c r="L19" s="195">
        <v>1.2E-2</v>
      </c>
      <c r="M19" s="196" t="s">
        <v>70</v>
      </c>
      <c r="N19" s="197">
        <f>L13</f>
        <v>0</v>
      </c>
      <c r="O19" s="196" t="s">
        <v>71</v>
      </c>
      <c r="P19" s="195">
        <v>0.13800000000000001</v>
      </c>
      <c r="Q19" s="196" t="s">
        <v>86</v>
      </c>
      <c r="R19" s="1019" t="s">
        <v>72</v>
      </c>
      <c r="S19" s="1020"/>
    </row>
    <row r="20" spans="1:19" x14ac:dyDescent="0.25">
      <c r="B20" s="1017" t="s">
        <v>86</v>
      </c>
      <c r="C20" s="1018"/>
      <c r="D20" s="1017" t="s">
        <v>279</v>
      </c>
      <c r="E20" s="1018"/>
      <c r="F20" s="1017" t="s">
        <v>71</v>
      </c>
      <c r="G20" s="1018"/>
      <c r="H20" s="198">
        <v>2000</v>
      </c>
      <c r="I20" t="s">
        <v>70</v>
      </c>
      <c r="L20" s="1017" t="s">
        <v>86</v>
      </c>
      <c r="M20" s="1018"/>
      <c r="N20" s="1017" t="s">
        <v>279</v>
      </c>
      <c r="O20" s="1018"/>
      <c r="P20" s="1017" t="s">
        <v>71</v>
      </c>
      <c r="Q20" s="1018"/>
      <c r="R20" s="198">
        <v>2000</v>
      </c>
      <c r="S20" t="s">
        <v>70</v>
      </c>
    </row>
    <row r="21" spans="1:19" x14ac:dyDescent="0.25">
      <c r="B21" s="203"/>
      <c r="C21" s="203"/>
      <c r="D21" s="203"/>
      <c r="E21" s="203"/>
      <c r="F21" s="203"/>
      <c r="G21" s="203"/>
      <c r="L21" s="203"/>
      <c r="M21" s="203"/>
      <c r="N21" s="203"/>
      <c r="O21" s="203"/>
      <c r="P21" s="203"/>
      <c r="Q21" s="203"/>
    </row>
    <row r="23" spans="1:19" x14ac:dyDescent="0.25">
      <c r="A23" s="194" t="s">
        <v>69</v>
      </c>
      <c r="B23" s="199">
        <f>(B19*D19*F19)/H20</f>
        <v>0</v>
      </c>
      <c r="C23" s="200" t="s">
        <v>72</v>
      </c>
      <c r="D23" s="194" t="s">
        <v>69</v>
      </c>
      <c r="E23" s="199">
        <f>B23*2000/8760</f>
        <v>0</v>
      </c>
      <c r="F23" s="201" t="s">
        <v>70</v>
      </c>
      <c r="H23" s="202"/>
      <c r="K23" s="194" t="s">
        <v>69</v>
      </c>
      <c r="L23" s="199">
        <f>(L19*N19*P19)/R20</f>
        <v>0</v>
      </c>
      <c r="M23" s="200" t="s">
        <v>72</v>
      </c>
      <c r="N23" s="194" t="s">
        <v>69</v>
      </c>
      <c r="O23" s="199">
        <f>L23*2000/8760</f>
        <v>0</v>
      </c>
      <c r="P23" s="201" t="s">
        <v>70</v>
      </c>
      <c r="R23" s="202"/>
    </row>
    <row r="24" spans="1:19" x14ac:dyDescent="0.25">
      <c r="C24" s="203" t="s">
        <v>279</v>
      </c>
      <c r="F24" s="204" t="s">
        <v>128</v>
      </c>
      <c r="M24" s="203" t="s">
        <v>279</v>
      </c>
      <c r="P24" s="204" t="s">
        <v>128</v>
      </c>
    </row>
    <row r="25" spans="1:19" x14ac:dyDescent="0.25">
      <c r="C25" s="203"/>
      <c r="F25" s="204"/>
      <c r="M25" s="203"/>
      <c r="P25" s="204"/>
    </row>
    <row r="26" spans="1:19" x14ac:dyDescent="0.25">
      <c r="C26" s="203"/>
      <c r="F26" s="204"/>
      <c r="M26" s="203"/>
      <c r="P26" s="204"/>
    </row>
    <row r="27" spans="1:19" x14ac:dyDescent="0.25">
      <c r="A27" t="s">
        <v>74</v>
      </c>
      <c r="K27" t="s">
        <v>74</v>
      </c>
    </row>
    <row r="29" spans="1:19" x14ac:dyDescent="0.25">
      <c r="A29" s="194" t="s">
        <v>69</v>
      </c>
      <c r="B29" s="205">
        <f>B6*B14</f>
        <v>1.01E-2</v>
      </c>
      <c r="C29" s="196" t="s">
        <v>70</v>
      </c>
      <c r="D29" s="197">
        <f>B13</f>
        <v>0</v>
      </c>
      <c r="E29" s="196" t="s">
        <v>71</v>
      </c>
      <c r="F29" s="195">
        <v>0.13800000000000001</v>
      </c>
      <c r="G29" s="196" t="s">
        <v>86</v>
      </c>
      <c r="H29" s="1019" t="s">
        <v>72</v>
      </c>
      <c r="I29" s="1020"/>
      <c r="K29" s="194" t="s">
        <v>69</v>
      </c>
      <c r="L29" s="205">
        <f>L6*L14</f>
        <v>1.01E-2</v>
      </c>
      <c r="M29" s="196" t="s">
        <v>70</v>
      </c>
      <c r="N29" s="197">
        <f>L13</f>
        <v>0</v>
      </c>
      <c r="O29" s="196" t="s">
        <v>71</v>
      </c>
      <c r="P29" s="195">
        <v>0.13800000000000001</v>
      </c>
      <c r="Q29" s="196" t="s">
        <v>86</v>
      </c>
      <c r="R29" s="1019" t="s">
        <v>72</v>
      </c>
      <c r="S29" s="1020"/>
    </row>
    <row r="30" spans="1:19" x14ac:dyDescent="0.25">
      <c r="B30" s="1017" t="s">
        <v>86</v>
      </c>
      <c r="C30" s="1018"/>
      <c r="D30" s="1017" t="s">
        <v>279</v>
      </c>
      <c r="E30" s="1018"/>
      <c r="F30" s="1017" t="s">
        <v>71</v>
      </c>
      <c r="G30" s="1018"/>
      <c r="H30" s="198">
        <v>2000</v>
      </c>
      <c r="I30" t="s">
        <v>70</v>
      </c>
      <c r="L30" s="1017" t="s">
        <v>86</v>
      </c>
      <c r="M30" s="1018"/>
      <c r="N30" s="1017" t="s">
        <v>279</v>
      </c>
      <c r="O30" s="1018"/>
      <c r="P30" s="1017" t="s">
        <v>71</v>
      </c>
      <c r="Q30" s="1018"/>
      <c r="R30" s="198">
        <v>2000</v>
      </c>
      <c r="S30" t="s">
        <v>70</v>
      </c>
    </row>
    <row r="31" spans="1:19" x14ac:dyDescent="0.25">
      <c r="B31" s="203"/>
      <c r="C31" s="203"/>
      <c r="D31" s="203"/>
      <c r="E31" s="203"/>
      <c r="F31" s="203"/>
      <c r="G31" s="203"/>
      <c r="L31" s="203"/>
      <c r="M31" s="203"/>
      <c r="N31" s="203"/>
      <c r="O31" s="203"/>
      <c r="P31" s="203"/>
      <c r="Q31" s="203"/>
    </row>
    <row r="33" spans="1:19" x14ac:dyDescent="0.25">
      <c r="A33" s="194" t="s">
        <v>69</v>
      </c>
      <c r="B33" s="199">
        <f>(B29*D29*F29)/H30</f>
        <v>0</v>
      </c>
      <c r="C33" s="200" t="s">
        <v>72</v>
      </c>
      <c r="D33" s="194" t="s">
        <v>69</v>
      </c>
      <c r="E33" s="199">
        <f>B33*2000/8760</f>
        <v>0</v>
      </c>
      <c r="F33" s="201" t="s">
        <v>70</v>
      </c>
      <c r="H33" s="202"/>
      <c r="K33" s="194" t="s">
        <v>69</v>
      </c>
      <c r="L33" s="207">
        <f>(L29*N29*P29)/R30</f>
        <v>0</v>
      </c>
      <c r="M33" s="200" t="s">
        <v>72</v>
      </c>
      <c r="N33" s="194" t="s">
        <v>69</v>
      </c>
      <c r="O33" s="207">
        <f>L33*2000/8760</f>
        <v>0</v>
      </c>
      <c r="P33" s="201" t="s">
        <v>70</v>
      </c>
      <c r="R33" s="202"/>
    </row>
    <row r="34" spans="1:19" x14ac:dyDescent="0.25">
      <c r="C34" s="203" t="s">
        <v>279</v>
      </c>
      <c r="F34" s="204" t="s">
        <v>128</v>
      </c>
      <c r="M34" s="203" t="s">
        <v>279</v>
      </c>
      <c r="P34" s="204" t="s">
        <v>128</v>
      </c>
    </row>
    <row r="35" spans="1:19" x14ac:dyDescent="0.25">
      <c r="C35" s="203"/>
      <c r="F35" s="204"/>
      <c r="M35" s="203"/>
      <c r="P35" s="204"/>
    </row>
    <row r="36" spans="1:19" x14ac:dyDescent="0.25">
      <c r="C36" s="203"/>
      <c r="D36" s="194"/>
      <c r="E36" s="199"/>
      <c r="F36" s="204"/>
      <c r="H36" s="202"/>
      <c r="M36" s="203"/>
      <c r="N36" s="194"/>
      <c r="O36" s="199"/>
      <c r="P36" s="204"/>
      <c r="R36" s="202"/>
    </row>
    <row r="37" spans="1:19" x14ac:dyDescent="0.25">
      <c r="A37" t="s">
        <v>75</v>
      </c>
      <c r="K37" t="s">
        <v>75</v>
      </c>
    </row>
    <row r="39" spans="1:19" x14ac:dyDescent="0.25">
      <c r="A39" s="194" t="s">
        <v>69</v>
      </c>
      <c r="B39" s="195">
        <v>0.88</v>
      </c>
      <c r="C39" s="196" t="s">
        <v>70</v>
      </c>
      <c r="D39" s="197">
        <f>B13</f>
        <v>0</v>
      </c>
      <c r="E39" s="196" t="s">
        <v>71</v>
      </c>
      <c r="F39" s="195">
        <v>0.13800000000000001</v>
      </c>
      <c r="G39" s="196" t="s">
        <v>86</v>
      </c>
      <c r="H39" s="1019" t="s">
        <v>72</v>
      </c>
      <c r="I39" s="1020"/>
      <c r="K39" s="194" t="s">
        <v>69</v>
      </c>
      <c r="L39" s="195">
        <v>0.88</v>
      </c>
      <c r="M39" s="196" t="s">
        <v>70</v>
      </c>
      <c r="N39" s="197">
        <f>L13</f>
        <v>0</v>
      </c>
      <c r="O39" s="196" t="s">
        <v>71</v>
      </c>
      <c r="P39" s="195">
        <v>0.13800000000000001</v>
      </c>
      <c r="Q39" s="196" t="s">
        <v>86</v>
      </c>
      <c r="R39" s="1019" t="s">
        <v>72</v>
      </c>
      <c r="S39" s="1020"/>
    </row>
    <row r="40" spans="1:19" x14ac:dyDescent="0.25">
      <c r="B40" s="1017" t="s">
        <v>86</v>
      </c>
      <c r="C40" s="1018"/>
      <c r="D40" s="1017" t="s">
        <v>279</v>
      </c>
      <c r="E40" s="1018"/>
      <c r="F40" s="1017" t="s">
        <v>71</v>
      </c>
      <c r="G40" s="1018"/>
      <c r="H40" s="198">
        <v>2000</v>
      </c>
      <c r="I40" t="s">
        <v>70</v>
      </c>
      <c r="L40" s="1017" t="s">
        <v>86</v>
      </c>
      <c r="M40" s="1018"/>
      <c r="N40" s="1017" t="s">
        <v>279</v>
      </c>
      <c r="O40" s="1018"/>
      <c r="P40" s="1017" t="s">
        <v>71</v>
      </c>
      <c r="Q40" s="1018"/>
      <c r="R40" s="198">
        <v>2000</v>
      </c>
      <c r="S40" t="s">
        <v>70</v>
      </c>
    </row>
    <row r="41" spans="1:19" x14ac:dyDescent="0.25">
      <c r="B41" s="203"/>
      <c r="C41" s="203"/>
      <c r="D41" s="203"/>
      <c r="E41" s="203"/>
      <c r="F41" s="203"/>
      <c r="G41" s="203"/>
      <c r="L41" s="203"/>
      <c r="M41" s="203"/>
      <c r="N41" s="203"/>
      <c r="O41" s="203"/>
      <c r="P41" s="203"/>
      <c r="Q41" s="203"/>
    </row>
    <row r="43" spans="1:19" x14ac:dyDescent="0.25">
      <c r="A43" s="194" t="s">
        <v>69</v>
      </c>
      <c r="B43" s="199">
        <f>(B39*D39*F39)/H40</f>
        <v>0</v>
      </c>
      <c r="C43" s="200" t="s">
        <v>72</v>
      </c>
      <c r="D43" s="194" t="s">
        <v>69</v>
      </c>
      <c r="E43" s="199">
        <f>B43*2000/8760</f>
        <v>0</v>
      </c>
      <c r="F43" s="201" t="s">
        <v>70</v>
      </c>
      <c r="H43" s="202"/>
      <c r="K43" s="194" t="s">
        <v>69</v>
      </c>
      <c r="L43" s="206">
        <f>(L39*N39*P39)/R40</f>
        <v>0</v>
      </c>
      <c r="M43" s="200" t="s">
        <v>72</v>
      </c>
      <c r="N43" s="194" t="s">
        <v>69</v>
      </c>
      <c r="O43" s="206">
        <f>L43*2000/8760</f>
        <v>0</v>
      </c>
      <c r="P43" s="201" t="s">
        <v>70</v>
      </c>
      <c r="R43" s="202"/>
    </row>
    <row r="44" spans="1:19" x14ac:dyDescent="0.25">
      <c r="C44" s="203" t="s">
        <v>279</v>
      </c>
      <c r="F44" s="204" t="s">
        <v>128</v>
      </c>
      <c r="M44" s="203" t="s">
        <v>279</v>
      </c>
      <c r="P44" s="204" t="s">
        <v>128</v>
      </c>
    </row>
    <row r="45" spans="1:19" x14ac:dyDescent="0.25">
      <c r="C45" s="203"/>
      <c r="F45" s="204"/>
      <c r="M45" s="203"/>
      <c r="P45" s="204"/>
    </row>
    <row r="46" spans="1:19" x14ac:dyDescent="0.25">
      <c r="C46" s="203"/>
      <c r="F46" s="204"/>
      <c r="M46" s="203"/>
      <c r="P46" s="204"/>
    </row>
    <row r="47" spans="1:19" x14ac:dyDescent="0.25">
      <c r="A47" t="s">
        <v>76</v>
      </c>
      <c r="K47" t="s">
        <v>76</v>
      </c>
    </row>
    <row r="49" spans="1:19" x14ac:dyDescent="0.25">
      <c r="A49" s="194" t="s">
        <v>69</v>
      </c>
      <c r="B49" s="195">
        <v>4.0999999999999999E-4</v>
      </c>
      <c r="C49" s="196" t="s">
        <v>70</v>
      </c>
      <c r="D49" s="197">
        <f>B13</f>
        <v>0</v>
      </c>
      <c r="E49" s="196" t="s">
        <v>71</v>
      </c>
      <c r="F49" s="195">
        <v>0.13800000000000001</v>
      </c>
      <c r="G49" s="196" t="s">
        <v>86</v>
      </c>
      <c r="H49" s="1019" t="s">
        <v>72</v>
      </c>
      <c r="I49" s="1020"/>
      <c r="K49" s="194" t="s">
        <v>69</v>
      </c>
      <c r="L49" s="195">
        <v>4.0999999999999999E-4</v>
      </c>
      <c r="M49" s="196" t="s">
        <v>70</v>
      </c>
      <c r="N49" s="197">
        <f>L13</f>
        <v>0</v>
      </c>
      <c r="O49" s="196" t="s">
        <v>71</v>
      </c>
      <c r="P49" s="195">
        <v>0.13800000000000001</v>
      </c>
      <c r="Q49" s="196" t="s">
        <v>86</v>
      </c>
      <c r="R49" s="1019" t="s">
        <v>72</v>
      </c>
      <c r="S49" s="1020"/>
    </row>
    <row r="50" spans="1:19" x14ac:dyDescent="0.25">
      <c r="B50" s="1017" t="s">
        <v>86</v>
      </c>
      <c r="C50" s="1018"/>
      <c r="D50" s="1017" t="s">
        <v>279</v>
      </c>
      <c r="E50" s="1018"/>
      <c r="F50" s="1017" t="s">
        <v>71</v>
      </c>
      <c r="G50" s="1018"/>
      <c r="H50" s="198">
        <v>2000</v>
      </c>
      <c r="I50" t="s">
        <v>70</v>
      </c>
      <c r="L50" s="1017" t="s">
        <v>86</v>
      </c>
      <c r="M50" s="1018"/>
      <c r="N50" s="1017" t="s">
        <v>279</v>
      </c>
      <c r="O50" s="1018"/>
      <c r="P50" s="1017" t="s">
        <v>71</v>
      </c>
      <c r="Q50" s="1018"/>
      <c r="R50" s="198">
        <v>2000</v>
      </c>
      <c r="S50" t="s">
        <v>70</v>
      </c>
    </row>
    <row r="51" spans="1:19" x14ac:dyDescent="0.25">
      <c r="B51" s="203"/>
      <c r="C51" s="203"/>
      <c r="D51" s="203"/>
      <c r="E51" s="203"/>
      <c r="F51" s="203"/>
      <c r="G51" s="203"/>
      <c r="L51" s="203"/>
      <c r="M51" s="203"/>
      <c r="N51" s="203"/>
      <c r="O51" s="203"/>
      <c r="P51" s="203"/>
      <c r="Q51" s="203"/>
    </row>
    <row r="53" spans="1:19" x14ac:dyDescent="0.25">
      <c r="A53" s="194" t="s">
        <v>69</v>
      </c>
      <c r="B53" s="199">
        <f>(B49*D49*F49)/H50</f>
        <v>0</v>
      </c>
      <c r="C53" s="200" t="s">
        <v>72</v>
      </c>
      <c r="D53" s="194" t="s">
        <v>69</v>
      </c>
      <c r="E53" s="199">
        <f>B53*2000/8760</f>
        <v>0</v>
      </c>
      <c r="F53" s="201" t="s">
        <v>70</v>
      </c>
      <c r="H53" s="202"/>
      <c r="K53" s="194" t="s">
        <v>69</v>
      </c>
      <c r="L53" s="199">
        <f>(L49*N49*P49)/R50</f>
        <v>0</v>
      </c>
      <c r="M53" s="200" t="s">
        <v>72</v>
      </c>
      <c r="N53" s="194" t="s">
        <v>69</v>
      </c>
      <c r="O53" s="199">
        <f>L53*2000/8760</f>
        <v>0</v>
      </c>
      <c r="P53" s="201" t="s">
        <v>70</v>
      </c>
      <c r="R53" s="202"/>
    </row>
    <row r="54" spans="1:19" x14ac:dyDescent="0.25">
      <c r="C54" s="203" t="s">
        <v>279</v>
      </c>
      <c r="F54" s="204" t="s">
        <v>128</v>
      </c>
      <c r="M54" s="203" t="s">
        <v>279</v>
      </c>
      <c r="P54" s="204" t="s">
        <v>128</v>
      </c>
    </row>
    <row r="55" spans="1:19" x14ac:dyDescent="0.25">
      <c r="C55" s="203"/>
      <c r="F55" s="204"/>
      <c r="M55" s="203"/>
      <c r="P55" s="204"/>
    </row>
    <row r="56" spans="1:19" x14ac:dyDescent="0.25">
      <c r="D56" s="194"/>
      <c r="E56" s="199"/>
      <c r="F56" s="204"/>
      <c r="H56" s="202"/>
      <c r="N56" s="194"/>
      <c r="O56" s="199"/>
      <c r="P56" s="204"/>
      <c r="R56" s="202"/>
    </row>
    <row r="57" spans="1:19" x14ac:dyDescent="0.25">
      <c r="A57" t="s">
        <v>77</v>
      </c>
      <c r="D57" s="194"/>
      <c r="E57" s="199"/>
      <c r="H57" s="202"/>
      <c r="K57" t="s">
        <v>77</v>
      </c>
      <c r="N57" s="194"/>
      <c r="O57" s="199"/>
      <c r="R57" s="202"/>
    </row>
    <row r="59" spans="1:19" x14ac:dyDescent="0.25">
      <c r="A59" s="194" t="s">
        <v>69</v>
      </c>
      <c r="B59" s="195">
        <v>3.3E-3</v>
      </c>
      <c r="C59" s="196" t="s">
        <v>70</v>
      </c>
      <c r="D59" s="197">
        <f>B13</f>
        <v>0</v>
      </c>
      <c r="E59" s="196" t="s">
        <v>71</v>
      </c>
      <c r="F59" s="195">
        <v>0.13800000000000001</v>
      </c>
      <c r="G59" s="196" t="s">
        <v>86</v>
      </c>
      <c r="H59" s="1019" t="s">
        <v>72</v>
      </c>
      <c r="I59" s="1020"/>
      <c r="K59" s="194" t="s">
        <v>69</v>
      </c>
      <c r="L59" s="195">
        <v>3.3E-3</v>
      </c>
      <c r="M59" s="196" t="s">
        <v>70</v>
      </c>
      <c r="N59" s="197">
        <f>L13</f>
        <v>0</v>
      </c>
      <c r="O59" s="196" t="s">
        <v>71</v>
      </c>
      <c r="P59" s="195">
        <v>0.13800000000000001</v>
      </c>
      <c r="Q59" s="196" t="s">
        <v>86</v>
      </c>
      <c r="R59" s="1019" t="s">
        <v>72</v>
      </c>
      <c r="S59" s="1020"/>
    </row>
    <row r="60" spans="1:19" x14ac:dyDescent="0.25">
      <c r="B60" s="1017" t="s">
        <v>86</v>
      </c>
      <c r="C60" s="1018"/>
      <c r="D60" s="1017" t="s">
        <v>279</v>
      </c>
      <c r="E60" s="1018"/>
      <c r="F60" s="1017" t="s">
        <v>71</v>
      </c>
      <c r="G60" s="1018"/>
      <c r="H60" s="198">
        <v>2000</v>
      </c>
      <c r="I60" t="s">
        <v>70</v>
      </c>
      <c r="L60" s="1017" t="s">
        <v>86</v>
      </c>
      <c r="M60" s="1018"/>
      <c r="N60" s="1017" t="s">
        <v>279</v>
      </c>
      <c r="O60" s="1018"/>
      <c r="P60" s="1017" t="s">
        <v>71</v>
      </c>
      <c r="Q60" s="1018"/>
      <c r="R60" s="198">
        <v>2000</v>
      </c>
      <c r="S60" t="s">
        <v>70</v>
      </c>
    </row>
    <row r="61" spans="1:19" x14ac:dyDescent="0.25">
      <c r="B61" s="203"/>
      <c r="C61" s="203"/>
      <c r="D61" s="203"/>
      <c r="E61" s="203"/>
      <c r="F61" s="203"/>
      <c r="G61" s="203"/>
      <c r="L61" s="203"/>
      <c r="M61" s="203"/>
      <c r="N61" s="203"/>
      <c r="O61" s="203"/>
      <c r="P61" s="203"/>
      <c r="Q61" s="203"/>
    </row>
    <row r="63" spans="1:19" x14ac:dyDescent="0.25">
      <c r="A63" s="194" t="s">
        <v>69</v>
      </c>
      <c r="B63" s="199">
        <f>(B59*D59*F59)/H60</f>
        <v>0</v>
      </c>
      <c r="C63" s="200" t="s">
        <v>72</v>
      </c>
      <c r="D63" s="194" t="s">
        <v>69</v>
      </c>
      <c r="E63" s="199">
        <f>B63*2000/8760</f>
        <v>0</v>
      </c>
      <c r="F63" s="201" t="s">
        <v>70</v>
      </c>
      <c r="H63" s="202"/>
      <c r="K63" s="194" t="s">
        <v>69</v>
      </c>
      <c r="L63" s="199">
        <f>(L59*N59*P59)/R60</f>
        <v>0</v>
      </c>
      <c r="M63" s="200" t="s">
        <v>72</v>
      </c>
      <c r="N63" s="194" t="s">
        <v>69</v>
      </c>
      <c r="O63" s="199">
        <f>L63*2000/8760</f>
        <v>0</v>
      </c>
      <c r="P63" s="201" t="s">
        <v>70</v>
      </c>
      <c r="R63" s="202"/>
    </row>
    <row r="64" spans="1:19" x14ac:dyDescent="0.25">
      <c r="C64" s="203" t="s">
        <v>279</v>
      </c>
      <c r="F64" s="204" t="s">
        <v>128</v>
      </c>
      <c r="M64" s="203" t="s">
        <v>279</v>
      </c>
      <c r="P64" s="204" t="s">
        <v>128</v>
      </c>
    </row>
    <row r="65" spans="1:19" x14ac:dyDescent="0.25">
      <c r="C65" s="203"/>
      <c r="F65" s="204"/>
      <c r="M65" s="203"/>
      <c r="P65" s="204"/>
    </row>
    <row r="67" spans="1:19" x14ac:dyDescent="0.25">
      <c r="A67" t="s">
        <v>78</v>
      </c>
      <c r="K67" t="s">
        <v>78</v>
      </c>
    </row>
    <row r="69" spans="1:19" x14ac:dyDescent="0.25">
      <c r="A69" s="194" t="s">
        <v>69</v>
      </c>
      <c r="B69" s="195">
        <v>1.4E-5</v>
      </c>
      <c r="C69" s="196" t="s">
        <v>70</v>
      </c>
      <c r="D69" s="197">
        <f>B13</f>
        <v>0</v>
      </c>
      <c r="E69" s="196" t="s">
        <v>71</v>
      </c>
      <c r="F69" s="195">
        <v>0.13800000000000001</v>
      </c>
      <c r="G69" s="196" t="s">
        <v>86</v>
      </c>
      <c r="H69" s="1019" t="s">
        <v>72</v>
      </c>
      <c r="I69" s="1020"/>
      <c r="K69" s="194" t="s">
        <v>69</v>
      </c>
      <c r="L69" s="195">
        <v>1.4E-5</v>
      </c>
      <c r="M69" s="196" t="s">
        <v>70</v>
      </c>
      <c r="N69" s="197">
        <f>L13</f>
        <v>0</v>
      </c>
      <c r="O69" s="196" t="s">
        <v>71</v>
      </c>
      <c r="P69" s="195">
        <v>0.13800000000000001</v>
      </c>
      <c r="Q69" s="196" t="s">
        <v>86</v>
      </c>
      <c r="R69" s="1019" t="s">
        <v>72</v>
      </c>
      <c r="S69" s="1020"/>
    </row>
    <row r="70" spans="1:19" x14ac:dyDescent="0.25">
      <c r="B70" s="1017" t="s">
        <v>86</v>
      </c>
      <c r="C70" s="1018"/>
      <c r="D70" s="1017" t="s">
        <v>279</v>
      </c>
      <c r="E70" s="1018"/>
      <c r="F70" s="1017" t="s">
        <v>71</v>
      </c>
      <c r="G70" s="1018"/>
      <c r="H70" s="198">
        <v>2000</v>
      </c>
      <c r="I70" t="s">
        <v>70</v>
      </c>
      <c r="L70" s="1017" t="s">
        <v>86</v>
      </c>
      <c r="M70" s="1018"/>
      <c r="N70" s="1017" t="s">
        <v>279</v>
      </c>
      <c r="O70" s="1018"/>
      <c r="P70" s="1017" t="s">
        <v>71</v>
      </c>
      <c r="Q70" s="1018"/>
      <c r="R70" s="198">
        <v>2000</v>
      </c>
      <c r="S70" t="s">
        <v>70</v>
      </c>
    </row>
    <row r="71" spans="1:19" x14ac:dyDescent="0.25">
      <c r="B71" s="203"/>
      <c r="C71" s="203"/>
      <c r="D71" s="203"/>
      <c r="E71" s="203"/>
      <c r="F71" s="203"/>
      <c r="G71" s="203"/>
      <c r="L71" s="203"/>
      <c r="M71" s="203"/>
      <c r="N71" s="203"/>
      <c r="O71" s="203"/>
      <c r="P71" s="203"/>
      <c r="Q71" s="203"/>
    </row>
    <row r="73" spans="1:19" x14ac:dyDescent="0.25">
      <c r="A73" s="194" t="s">
        <v>69</v>
      </c>
      <c r="B73" s="199">
        <f>(B69*D69*F69)/H70</f>
        <v>0</v>
      </c>
      <c r="C73" s="200" t="s">
        <v>72</v>
      </c>
      <c r="D73" s="194" t="s">
        <v>69</v>
      </c>
      <c r="E73" s="199">
        <f>B73*2000/8760</f>
        <v>0</v>
      </c>
      <c r="F73" s="201" t="s">
        <v>70</v>
      </c>
      <c r="H73" s="202"/>
      <c r="K73" s="194" t="s">
        <v>69</v>
      </c>
      <c r="L73" s="199">
        <f>(L69*N69*P69)/R70</f>
        <v>0</v>
      </c>
      <c r="M73" s="200" t="s">
        <v>72</v>
      </c>
      <c r="N73" s="194" t="s">
        <v>69</v>
      </c>
      <c r="O73" s="199">
        <f>L73*2000/8760</f>
        <v>0</v>
      </c>
      <c r="P73" s="201" t="s">
        <v>70</v>
      </c>
      <c r="R73" s="202"/>
    </row>
    <row r="74" spans="1:19" x14ac:dyDescent="0.25">
      <c r="A74" s="194"/>
      <c r="C74" s="203" t="s">
        <v>279</v>
      </c>
      <c r="F74" s="204" t="s">
        <v>128</v>
      </c>
      <c r="K74" s="194"/>
      <c r="M74" s="203" t="s">
        <v>279</v>
      </c>
      <c r="P74" s="204" t="s">
        <v>128</v>
      </c>
    </row>
    <row r="77" spans="1:19" x14ac:dyDescent="0.25">
      <c r="A77" s="323" t="s">
        <v>334</v>
      </c>
      <c r="B77" s="24"/>
      <c r="C77" s="24"/>
      <c r="D77" s="24"/>
      <c r="E77" s="24"/>
      <c r="F77" s="24"/>
      <c r="G77" s="24"/>
      <c r="K77" s="323" t="s">
        <v>334</v>
      </c>
      <c r="L77" s="24"/>
      <c r="M77" s="24"/>
      <c r="N77" s="24"/>
      <c r="O77" s="24"/>
      <c r="P77" s="24"/>
      <c r="Q77" s="24"/>
    </row>
    <row r="79" spans="1:19" x14ac:dyDescent="0.25">
      <c r="A79" s="28" t="s">
        <v>69</v>
      </c>
      <c r="B79" s="490">
        <f>V14</f>
        <v>22.578420600240001</v>
      </c>
      <c r="C79" s="65" t="s">
        <v>70</v>
      </c>
      <c r="D79" s="95">
        <f>D69</f>
        <v>0</v>
      </c>
      <c r="E79" s="65" t="s">
        <v>71</v>
      </c>
      <c r="F79" s="97"/>
      <c r="G79" s="121" t="s">
        <v>72</v>
      </c>
      <c r="K79" s="28" t="s">
        <v>69</v>
      </c>
      <c r="L79" s="490">
        <f>V14</f>
        <v>22.578420600240001</v>
      </c>
      <c r="M79" s="65" t="s">
        <v>70</v>
      </c>
      <c r="N79" s="95">
        <f>N69</f>
        <v>0</v>
      </c>
      <c r="O79" s="65" t="s">
        <v>71</v>
      </c>
      <c r="P79" s="97"/>
      <c r="Q79" s="121" t="s">
        <v>72</v>
      </c>
    </row>
    <row r="80" spans="1:19" x14ac:dyDescent="0.25">
      <c r="A80" s="24"/>
      <c r="B80" s="120"/>
      <c r="C80" s="519" t="s">
        <v>71</v>
      </c>
      <c r="D80" s="96"/>
      <c r="E80" s="57" t="s">
        <v>279</v>
      </c>
      <c r="F80" s="56">
        <v>2000</v>
      </c>
      <c r="G80" s="115" t="s">
        <v>70</v>
      </c>
      <c r="K80" s="24"/>
      <c r="L80" s="120"/>
      <c r="M80" s="519" t="s">
        <v>71</v>
      </c>
      <c r="N80" s="96"/>
      <c r="O80" s="57" t="s">
        <v>279</v>
      </c>
      <c r="P80" s="56">
        <v>2000</v>
      </c>
      <c r="Q80" s="115" t="s">
        <v>70</v>
      </c>
    </row>
    <row r="83" spans="1:17" x14ac:dyDescent="0.25">
      <c r="A83" s="28" t="s">
        <v>69</v>
      </c>
      <c r="B83" s="64">
        <f>B79*D79/F80</f>
        <v>0</v>
      </c>
      <c r="C83" s="29" t="s">
        <v>72</v>
      </c>
      <c r="D83" s="28" t="s">
        <v>69</v>
      </c>
      <c r="E83" s="64">
        <f>B83*(2000/8760)</f>
        <v>0</v>
      </c>
      <c r="F83" s="29" t="s">
        <v>70</v>
      </c>
      <c r="G83" s="24"/>
      <c r="K83" s="28" t="s">
        <v>69</v>
      </c>
      <c r="L83" s="64">
        <f>L79*N79/P80</f>
        <v>0</v>
      </c>
      <c r="M83" s="29" t="s">
        <v>72</v>
      </c>
      <c r="N83" s="28" t="s">
        <v>69</v>
      </c>
      <c r="O83" s="64">
        <f>L83*(2000/8760)</f>
        <v>0</v>
      </c>
      <c r="P83" s="29" t="s">
        <v>70</v>
      </c>
      <c r="Q83" s="24"/>
    </row>
    <row r="84" spans="1:17" x14ac:dyDescent="0.25">
      <c r="A84" s="24"/>
      <c r="B84" s="24"/>
      <c r="C84" s="26" t="s">
        <v>279</v>
      </c>
      <c r="D84" s="24"/>
      <c r="E84" s="24"/>
      <c r="F84" s="26" t="s">
        <v>128</v>
      </c>
      <c r="G84" s="24"/>
      <c r="K84" s="24"/>
      <c r="L84" s="24"/>
      <c r="M84" s="26" t="s">
        <v>279</v>
      </c>
      <c r="N84" s="24"/>
      <c r="O84" s="24"/>
      <c r="P84" s="26" t="s">
        <v>128</v>
      </c>
      <c r="Q84" s="24"/>
    </row>
  </sheetData>
  <mergeCells count="56">
    <mergeCell ref="H69:I69"/>
    <mergeCell ref="B70:C70"/>
    <mergeCell ref="D70:E70"/>
    <mergeCell ref="F70:G70"/>
    <mergeCell ref="H49:I49"/>
    <mergeCell ref="B50:C50"/>
    <mergeCell ref="D50:E50"/>
    <mergeCell ref="F50:G50"/>
    <mergeCell ref="H59:I59"/>
    <mergeCell ref="B60:C60"/>
    <mergeCell ref="D60:E60"/>
    <mergeCell ref="F60:G60"/>
    <mergeCell ref="B40:C40"/>
    <mergeCell ref="D40:E40"/>
    <mergeCell ref="F40:G40"/>
    <mergeCell ref="A1:I1"/>
    <mergeCell ref="A3:C3"/>
    <mergeCell ref="D13:H13"/>
    <mergeCell ref="H19:I19"/>
    <mergeCell ref="B20:C20"/>
    <mergeCell ref="D20:E20"/>
    <mergeCell ref="F20:G20"/>
    <mergeCell ref="H29:I29"/>
    <mergeCell ref="B30:C30"/>
    <mergeCell ref="D30:E30"/>
    <mergeCell ref="F30:G30"/>
    <mergeCell ref="H39:I39"/>
    <mergeCell ref="A4:C4"/>
    <mergeCell ref="K1:S1"/>
    <mergeCell ref="K3:M3"/>
    <mergeCell ref="K4:M4"/>
    <mergeCell ref="N13:R13"/>
    <mergeCell ref="R19:S19"/>
    <mergeCell ref="L20:M20"/>
    <mergeCell ref="N20:O20"/>
    <mergeCell ref="P20:Q20"/>
    <mergeCell ref="R29:S29"/>
    <mergeCell ref="L30:M30"/>
    <mergeCell ref="N30:O30"/>
    <mergeCell ref="P30:Q30"/>
    <mergeCell ref="L50:M50"/>
    <mergeCell ref="N50:O50"/>
    <mergeCell ref="P50:Q50"/>
    <mergeCell ref="R39:S39"/>
    <mergeCell ref="L40:M40"/>
    <mergeCell ref="N40:O40"/>
    <mergeCell ref="P40:Q40"/>
    <mergeCell ref="R49:S49"/>
    <mergeCell ref="R59:S59"/>
    <mergeCell ref="L60:M60"/>
    <mergeCell ref="N60:O60"/>
    <mergeCell ref="P60:Q60"/>
    <mergeCell ref="N70:O70"/>
    <mergeCell ref="P70:Q70"/>
    <mergeCell ref="R69:S69"/>
    <mergeCell ref="L70:M70"/>
  </mergeCells>
  <pageMargins left="0.7" right="0.7" top="0.75" bottom="0.75" header="0.3" footer="0.3"/>
  <pageSetup scale="8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76"/>
  <sheetViews>
    <sheetView topLeftCell="A73" workbookViewId="0">
      <selection sqref="A1:G1"/>
    </sheetView>
  </sheetViews>
  <sheetFormatPr defaultRowHeight="15" x14ac:dyDescent="0.25"/>
  <cols>
    <col min="1" max="1" width="14.5703125" customWidth="1"/>
    <col min="2" max="2" width="14.28515625" customWidth="1"/>
    <col min="4" max="4" width="14.42578125" customWidth="1"/>
  </cols>
  <sheetData>
    <row r="1" spans="1:7" x14ac:dyDescent="0.25">
      <c r="A1" s="898" t="s">
        <v>402</v>
      </c>
      <c r="B1" s="898"/>
      <c r="C1" s="898"/>
      <c r="D1" s="898"/>
      <c r="E1" s="898"/>
      <c r="F1" s="898"/>
      <c r="G1" s="898"/>
    </row>
    <row r="3" spans="1:7" x14ac:dyDescent="0.25">
      <c r="A3" s="24" t="s">
        <v>53</v>
      </c>
      <c r="B3" s="24"/>
      <c r="C3" s="24"/>
      <c r="D3" s="24"/>
      <c r="E3" s="24"/>
      <c r="F3" s="24"/>
      <c r="G3" s="24"/>
    </row>
    <row r="5" spans="1:7" x14ac:dyDescent="0.25">
      <c r="A5" s="24" t="s">
        <v>54</v>
      </c>
      <c r="B5" s="24" t="s">
        <v>55</v>
      </c>
      <c r="C5" s="24"/>
      <c r="D5" s="24"/>
      <c r="E5" s="24"/>
      <c r="F5" s="24"/>
      <c r="G5" s="24"/>
    </row>
    <row r="6" spans="1:7" x14ac:dyDescent="0.25">
      <c r="A6" s="24" t="s">
        <v>56</v>
      </c>
      <c r="B6" s="323" t="s">
        <v>324</v>
      </c>
      <c r="C6" s="24"/>
      <c r="D6" s="24"/>
      <c r="E6" s="24"/>
      <c r="F6" s="24"/>
      <c r="G6" s="24"/>
    </row>
    <row r="7" spans="1:7" x14ac:dyDescent="0.25">
      <c r="A7" s="24" t="s">
        <v>57</v>
      </c>
      <c r="B7" s="24" t="s">
        <v>58</v>
      </c>
      <c r="C7" s="24"/>
      <c r="D7" s="24"/>
      <c r="E7" s="24"/>
      <c r="F7" s="24"/>
      <c r="G7" s="24"/>
    </row>
    <row r="8" spans="1:7" x14ac:dyDescent="0.25">
      <c r="A8" s="24" t="s">
        <v>59</v>
      </c>
      <c r="B8" s="24" t="s">
        <v>60</v>
      </c>
      <c r="C8" s="24"/>
      <c r="D8" s="24"/>
      <c r="E8" s="24"/>
      <c r="F8" s="24"/>
      <c r="G8" s="24"/>
    </row>
    <row r="9" spans="1:7" x14ac:dyDescent="0.25">
      <c r="A9" s="24" t="s">
        <v>61</v>
      </c>
      <c r="B9" s="24" t="s">
        <v>62</v>
      </c>
      <c r="C9" s="24"/>
      <c r="D9" s="24"/>
      <c r="E9" s="24"/>
      <c r="F9" s="24"/>
      <c r="G9" s="24"/>
    </row>
    <row r="10" spans="1:7" x14ac:dyDescent="0.25">
      <c r="A10" s="25" t="s">
        <v>63</v>
      </c>
      <c r="B10" s="24" t="s">
        <v>64</v>
      </c>
      <c r="C10" s="24"/>
      <c r="D10" s="24"/>
      <c r="E10" s="24"/>
      <c r="F10" s="24"/>
      <c r="G10" s="24"/>
    </row>
    <row r="11" spans="1:7" x14ac:dyDescent="0.25">
      <c r="A11" s="24"/>
      <c r="B11" s="24"/>
      <c r="C11" s="24"/>
      <c r="D11" s="24"/>
      <c r="E11" s="899"/>
      <c r="F11" s="899"/>
      <c r="G11" s="24"/>
    </row>
    <row r="12" spans="1:7" x14ac:dyDescent="0.25">
      <c r="A12" s="24" t="s">
        <v>65</v>
      </c>
      <c r="B12" s="123">
        <f>'Costa Sur'!B17+'Costa Sur'!C17</f>
        <v>0</v>
      </c>
      <c r="C12" s="24" t="s">
        <v>66</v>
      </c>
      <c r="D12" s="24"/>
      <c r="E12" s="123"/>
      <c r="F12" s="31"/>
      <c r="G12" s="24"/>
    </row>
    <row r="13" spans="1:7" x14ac:dyDescent="0.25">
      <c r="A13" s="24" t="s">
        <v>67</v>
      </c>
      <c r="B13" s="123">
        <f>('Costa Sur'!F17+'Costa Sur'!G17)/2</f>
        <v>0</v>
      </c>
      <c r="C13" s="24"/>
      <c r="D13" s="24"/>
      <c r="E13" s="123"/>
      <c r="F13" s="31"/>
      <c r="G13" s="24"/>
    </row>
    <row r="16" spans="1:7" x14ac:dyDescent="0.25">
      <c r="A16" s="24" t="s">
        <v>68</v>
      </c>
      <c r="B16" s="24"/>
      <c r="C16" s="24"/>
      <c r="D16" s="24"/>
      <c r="E16" s="24"/>
      <c r="F16" s="24"/>
      <c r="G16" s="24"/>
    </row>
    <row r="18" spans="1:7" x14ac:dyDescent="0.25">
      <c r="A18" s="28" t="s">
        <v>69</v>
      </c>
      <c r="B18" s="32">
        <f>(9.19*B13)+3.22</f>
        <v>3.22</v>
      </c>
      <c r="C18" s="33" t="s">
        <v>70</v>
      </c>
      <c r="D18" s="34">
        <f>B12</f>
        <v>0</v>
      </c>
      <c r="E18" s="33" t="s">
        <v>71</v>
      </c>
      <c r="F18" s="894" t="s">
        <v>72</v>
      </c>
      <c r="G18" s="895"/>
    </row>
    <row r="19" spans="1:7" x14ac:dyDescent="0.25">
      <c r="A19" s="24"/>
      <c r="B19" s="30">
        <v>1000</v>
      </c>
      <c r="C19" s="31" t="s">
        <v>71</v>
      </c>
      <c r="D19" s="896" t="s">
        <v>73</v>
      </c>
      <c r="E19" s="897"/>
      <c r="F19" s="30">
        <v>2000</v>
      </c>
      <c r="G19" s="31" t="s">
        <v>70</v>
      </c>
    </row>
    <row r="22" spans="1:7" x14ac:dyDescent="0.25">
      <c r="A22" s="28" t="s">
        <v>69</v>
      </c>
      <c r="B22" s="94">
        <f>((B18/B19)*D18)/F19</f>
        <v>0</v>
      </c>
      <c r="C22" s="29" t="s">
        <v>72</v>
      </c>
      <c r="D22" s="125" t="s">
        <v>69</v>
      </c>
      <c r="E22" s="122">
        <f>B22*(2000/8760)</f>
        <v>0</v>
      </c>
      <c r="F22" s="33" t="s">
        <v>70</v>
      </c>
      <c r="G22" s="24"/>
    </row>
    <row r="23" spans="1:7" x14ac:dyDescent="0.25">
      <c r="A23" s="24"/>
      <c r="B23" s="24"/>
      <c r="C23" s="26" t="s">
        <v>73</v>
      </c>
      <c r="D23" s="24"/>
      <c r="E23" s="24"/>
      <c r="F23" s="31" t="s">
        <v>128</v>
      </c>
      <c r="G23" s="24"/>
    </row>
    <row r="25" spans="1:7" x14ac:dyDescent="0.25">
      <c r="A25" s="24" t="s">
        <v>74</v>
      </c>
      <c r="B25" s="24"/>
      <c r="C25" s="24"/>
      <c r="D25" s="24"/>
      <c r="E25" s="24"/>
      <c r="F25" s="24"/>
      <c r="G25" s="24"/>
    </row>
    <row r="27" spans="1:7" x14ac:dyDescent="0.25">
      <c r="A27" s="28" t="s">
        <v>69</v>
      </c>
      <c r="B27" s="68">
        <f>(157+5.7)*B13</f>
        <v>0</v>
      </c>
      <c r="C27" s="33" t="s">
        <v>70</v>
      </c>
      <c r="D27" s="34">
        <f>B12</f>
        <v>0</v>
      </c>
      <c r="E27" s="33" t="s">
        <v>71</v>
      </c>
      <c r="F27" s="894" t="s">
        <v>72</v>
      </c>
      <c r="G27" s="895"/>
    </row>
    <row r="28" spans="1:7" x14ac:dyDescent="0.25">
      <c r="A28" s="24"/>
      <c r="B28" s="30">
        <v>1000</v>
      </c>
      <c r="C28" s="31" t="s">
        <v>71</v>
      </c>
      <c r="D28" s="896" t="s">
        <v>73</v>
      </c>
      <c r="E28" s="897"/>
      <c r="F28" s="30">
        <v>2000</v>
      </c>
      <c r="G28" s="31" t="s">
        <v>70</v>
      </c>
    </row>
    <row r="31" spans="1:7" x14ac:dyDescent="0.25">
      <c r="A31" s="28" t="s">
        <v>69</v>
      </c>
      <c r="B31" s="94">
        <f>((B27/B28)*D27)/F28</f>
        <v>0</v>
      </c>
      <c r="C31" s="29" t="s">
        <v>72</v>
      </c>
      <c r="D31" s="125" t="s">
        <v>69</v>
      </c>
      <c r="E31" s="58">
        <f>B31*(2000/8760)</f>
        <v>0</v>
      </c>
      <c r="F31" s="33" t="s">
        <v>70</v>
      </c>
      <c r="G31" s="24"/>
    </row>
    <row r="32" spans="1:7" x14ac:dyDescent="0.25">
      <c r="A32" s="24"/>
      <c r="B32" s="24"/>
      <c r="C32" s="26" t="s">
        <v>73</v>
      </c>
      <c r="D32" s="24"/>
      <c r="E32" s="24"/>
      <c r="F32" s="31" t="s">
        <v>128</v>
      </c>
      <c r="G32" s="24"/>
    </row>
    <row r="34" spans="1:7" x14ac:dyDescent="0.25">
      <c r="A34" s="24" t="s">
        <v>75</v>
      </c>
      <c r="B34" s="24"/>
      <c r="C34" s="24"/>
      <c r="D34" s="24"/>
      <c r="E34" s="24"/>
      <c r="F34" s="24"/>
      <c r="G34" s="24"/>
    </row>
    <row r="36" spans="1:7" x14ac:dyDescent="0.25">
      <c r="A36" s="28" t="s">
        <v>69</v>
      </c>
      <c r="B36" s="60">
        <v>32</v>
      </c>
      <c r="C36" s="33" t="s">
        <v>70</v>
      </c>
      <c r="D36" s="34">
        <f>B12</f>
        <v>0</v>
      </c>
      <c r="E36" s="33" t="s">
        <v>71</v>
      </c>
      <c r="F36" s="894" t="s">
        <v>72</v>
      </c>
      <c r="G36" s="895"/>
    </row>
    <row r="37" spans="1:7" x14ac:dyDescent="0.25">
      <c r="A37" s="24"/>
      <c r="B37" s="30">
        <v>1000</v>
      </c>
      <c r="C37" s="31" t="s">
        <v>71</v>
      </c>
      <c r="D37" s="896" t="s">
        <v>73</v>
      </c>
      <c r="E37" s="897"/>
      <c r="F37" s="30">
        <v>2000</v>
      </c>
      <c r="G37" s="31" t="s">
        <v>70</v>
      </c>
    </row>
    <row r="40" spans="1:7" x14ac:dyDescent="0.25">
      <c r="A40" s="28" t="s">
        <v>69</v>
      </c>
      <c r="B40" s="94">
        <f>((B36/B37)*D36)/F37</f>
        <v>0</v>
      </c>
      <c r="C40" s="29" t="s">
        <v>72</v>
      </c>
      <c r="D40" s="125" t="s">
        <v>69</v>
      </c>
      <c r="E40" s="58">
        <f>B40*(2000/8760)</f>
        <v>0</v>
      </c>
      <c r="F40" s="33" t="s">
        <v>70</v>
      </c>
      <c r="G40" s="24"/>
    </row>
    <row r="41" spans="1:7" x14ac:dyDescent="0.25">
      <c r="A41" s="24"/>
      <c r="B41" s="24"/>
      <c r="C41" s="26" t="s">
        <v>73</v>
      </c>
      <c r="D41" s="24"/>
      <c r="E41" s="24"/>
      <c r="F41" s="31" t="s">
        <v>128</v>
      </c>
      <c r="G41" s="24"/>
    </row>
    <row r="42" spans="1:7" x14ac:dyDescent="0.25">
      <c r="A42" s="24"/>
      <c r="B42" s="24"/>
      <c r="C42" s="26"/>
      <c r="D42" s="24"/>
      <c r="E42" s="24"/>
      <c r="F42" s="31"/>
      <c r="G42" s="24"/>
    </row>
    <row r="43" spans="1:7" x14ac:dyDescent="0.25">
      <c r="A43" s="24"/>
      <c r="B43" s="24"/>
      <c r="C43" s="26"/>
      <c r="D43" s="24"/>
      <c r="E43" s="24"/>
      <c r="F43" s="31"/>
      <c r="G43" s="24"/>
    </row>
    <row r="44" spans="1:7" x14ac:dyDescent="0.25">
      <c r="A44" s="24"/>
      <c r="B44" s="24"/>
      <c r="C44" s="26"/>
      <c r="D44" s="24"/>
      <c r="E44" s="24"/>
      <c r="F44" s="31"/>
      <c r="G44" s="24"/>
    </row>
    <row r="45" spans="1:7" x14ac:dyDescent="0.25">
      <c r="A45" s="24"/>
      <c r="B45" s="24"/>
      <c r="C45" s="26"/>
      <c r="D45" s="24"/>
      <c r="E45" s="24"/>
      <c r="F45" s="31"/>
      <c r="G45" s="24"/>
    </row>
    <row r="46" spans="1:7" x14ac:dyDescent="0.25">
      <c r="A46" s="24"/>
      <c r="B46" s="24"/>
      <c r="C46" s="26"/>
      <c r="D46" s="24"/>
      <c r="E46" s="24"/>
      <c r="F46" s="31"/>
      <c r="G46" s="24"/>
    </row>
    <row r="47" spans="1:7" x14ac:dyDescent="0.25">
      <c r="A47" s="24"/>
      <c r="B47" s="24"/>
      <c r="C47" s="26"/>
      <c r="D47" s="24"/>
      <c r="E47" s="24"/>
      <c r="F47" s="31"/>
      <c r="G47" s="24"/>
    </row>
    <row r="48" spans="1:7" x14ac:dyDescent="0.25">
      <c r="A48" s="24"/>
      <c r="B48" s="24"/>
      <c r="C48" s="26"/>
      <c r="D48" s="24"/>
      <c r="E48" s="24"/>
      <c r="F48" s="31"/>
      <c r="G48" s="24"/>
    </row>
    <row r="49" spans="1:7" x14ac:dyDescent="0.25">
      <c r="A49" s="24" t="s">
        <v>76</v>
      </c>
      <c r="B49" s="24"/>
      <c r="C49" s="24"/>
      <c r="D49" s="24"/>
      <c r="E49" s="24"/>
      <c r="F49" s="24"/>
      <c r="G49" s="24"/>
    </row>
    <row r="51" spans="1:7" x14ac:dyDescent="0.25">
      <c r="A51" s="28" t="s">
        <v>69</v>
      </c>
      <c r="B51" s="35">
        <v>0.76</v>
      </c>
      <c r="C51" s="33" t="s">
        <v>70</v>
      </c>
      <c r="D51" s="34">
        <f>B12</f>
        <v>0</v>
      </c>
      <c r="E51" s="33" t="s">
        <v>71</v>
      </c>
      <c r="F51" s="894" t="s">
        <v>72</v>
      </c>
      <c r="G51" s="895"/>
    </row>
    <row r="52" spans="1:7" x14ac:dyDescent="0.25">
      <c r="A52" s="24"/>
      <c r="B52" s="30">
        <v>1000</v>
      </c>
      <c r="C52" s="31" t="s">
        <v>71</v>
      </c>
      <c r="D52" s="896" t="s">
        <v>73</v>
      </c>
      <c r="E52" s="897"/>
      <c r="F52" s="30">
        <v>2000</v>
      </c>
      <c r="G52" s="31" t="s">
        <v>70</v>
      </c>
    </row>
    <row r="53" spans="1:7" x14ac:dyDescent="0.25">
      <c r="A53" s="24"/>
      <c r="B53" s="24"/>
      <c r="C53" s="24"/>
      <c r="D53" s="24"/>
      <c r="E53" s="24"/>
      <c r="F53" s="24"/>
      <c r="G53" s="24"/>
    </row>
    <row r="55" spans="1:7" x14ac:dyDescent="0.25">
      <c r="A55" s="28" t="s">
        <v>69</v>
      </c>
      <c r="B55" s="94">
        <f>((B51/B52)*D51)/F52</f>
        <v>0</v>
      </c>
      <c r="C55" s="29" t="s">
        <v>72</v>
      </c>
      <c r="D55" s="125" t="s">
        <v>69</v>
      </c>
      <c r="E55" s="58">
        <f>B55*(2000/8760)</f>
        <v>0</v>
      </c>
      <c r="F55" s="33" t="s">
        <v>70</v>
      </c>
      <c r="G55" s="24"/>
    </row>
    <row r="56" spans="1:7" x14ac:dyDescent="0.25">
      <c r="A56" s="28"/>
      <c r="B56" s="94"/>
      <c r="C56" s="26"/>
      <c r="D56" s="125"/>
      <c r="E56" s="58"/>
      <c r="F56" s="31"/>
      <c r="G56" s="24"/>
    </row>
    <row r="57" spans="1:7" x14ac:dyDescent="0.25">
      <c r="A57" s="24"/>
      <c r="B57" s="24"/>
      <c r="C57" s="26" t="s">
        <v>73</v>
      </c>
      <c r="D57" s="24"/>
      <c r="E57" s="24"/>
      <c r="F57" s="31" t="s">
        <v>128</v>
      </c>
      <c r="G57" s="24"/>
    </row>
    <row r="58" spans="1:7" x14ac:dyDescent="0.25">
      <c r="A58" s="24"/>
      <c r="B58" s="24"/>
      <c r="C58" s="26"/>
      <c r="D58" s="24"/>
      <c r="E58" s="24"/>
      <c r="F58" s="31"/>
      <c r="G58" s="24"/>
    </row>
    <row r="59" spans="1:7" x14ac:dyDescent="0.25">
      <c r="A59" s="124"/>
      <c r="B59" s="124"/>
      <c r="C59" s="124"/>
      <c r="D59" s="124"/>
      <c r="E59" s="124"/>
      <c r="F59" s="124"/>
      <c r="G59" s="124"/>
    </row>
    <row r="60" spans="1:7" x14ac:dyDescent="0.25">
      <c r="A60" s="24" t="s">
        <v>77</v>
      </c>
      <c r="B60" s="24"/>
      <c r="C60" s="24"/>
      <c r="D60" s="24"/>
      <c r="E60" s="24"/>
      <c r="F60" s="24"/>
      <c r="G60" s="24"/>
    </row>
    <row r="62" spans="1:7" x14ac:dyDescent="0.25">
      <c r="A62" s="28" t="s">
        <v>69</v>
      </c>
      <c r="B62" s="35">
        <v>5</v>
      </c>
      <c r="C62" s="33" t="s">
        <v>70</v>
      </c>
      <c r="D62" s="34">
        <f>B12</f>
        <v>0</v>
      </c>
      <c r="E62" s="33" t="s">
        <v>71</v>
      </c>
      <c r="F62" s="894" t="s">
        <v>72</v>
      </c>
      <c r="G62" s="895"/>
    </row>
    <row r="63" spans="1:7" x14ac:dyDescent="0.25">
      <c r="A63" s="24"/>
      <c r="B63" s="30">
        <v>1000</v>
      </c>
      <c r="C63" s="31" t="s">
        <v>71</v>
      </c>
      <c r="D63" s="896" t="s">
        <v>73</v>
      </c>
      <c r="E63" s="897"/>
      <c r="F63" s="30">
        <v>2000</v>
      </c>
      <c r="G63" s="31" t="s">
        <v>70</v>
      </c>
    </row>
    <row r="64" spans="1:7" x14ac:dyDescent="0.25">
      <c r="A64" s="24"/>
      <c r="B64" s="24"/>
      <c r="C64" s="24"/>
      <c r="D64" s="24"/>
      <c r="E64" s="24"/>
      <c r="F64" s="24"/>
      <c r="G64" s="24"/>
    </row>
    <row r="66" spans="1:7" x14ac:dyDescent="0.25">
      <c r="A66" s="28" t="s">
        <v>69</v>
      </c>
      <c r="B66" s="94">
        <f>((B62/B63)*D62)/F63</f>
        <v>0</v>
      </c>
      <c r="C66" s="29" t="s">
        <v>72</v>
      </c>
      <c r="D66" s="125" t="s">
        <v>69</v>
      </c>
      <c r="E66" s="58">
        <f>B66*(2000/8760)</f>
        <v>0</v>
      </c>
      <c r="F66" s="33" t="s">
        <v>70</v>
      </c>
      <c r="G66" s="24"/>
    </row>
    <row r="67" spans="1:7" x14ac:dyDescent="0.25">
      <c r="A67" s="24"/>
      <c r="B67" s="24"/>
      <c r="C67" s="26" t="s">
        <v>73</v>
      </c>
      <c r="D67" s="24"/>
      <c r="E67" s="24"/>
      <c r="F67" s="31" t="s">
        <v>128</v>
      </c>
      <c r="G67" s="24"/>
    </row>
    <row r="69" spans="1:7" x14ac:dyDescent="0.25">
      <c r="A69" s="24" t="s">
        <v>78</v>
      </c>
      <c r="B69" s="24"/>
      <c r="C69" s="24"/>
      <c r="D69" s="24"/>
      <c r="E69" s="24"/>
      <c r="F69" s="24"/>
      <c r="G69" s="24"/>
    </row>
    <row r="71" spans="1:7" x14ac:dyDescent="0.25">
      <c r="A71" s="28" t="s">
        <v>69</v>
      </c>
      <c r="B71" s="35">
        <v>1.5100000000000001E-3</v>
      </c>
      <c r="C71" s="33" t="s">
        <v>70</v>
      </c>
      <c r="D71" s="34">
        <f>B12</f>
        <v>0</v>
      </c>
      <c r="E71" s="33" t="s">
        <v>71</v>
      </c>
      <c r="F71" s="894" t="s">
        <v>72</v>
      </c>
      <c r="G71" s="895"/>
    </row>
    <row r="72" spans="1:7" x14ac:dyDescent="0.25">
      <c r="A72" s="24"/>
      <c r="B72" s="30">
        <v>1000</v>
      </c>
      <c r="C72" s="31" t="s">
        <v>71</v>
      </c>
      <c r="D72" s="896" t="s">
        <v>73</v>
      </c>
      <c r="E72" s="897"/>
      <c r="F72" s="30">
        <v>2000</v>
      </c>
      <c r="G72" s="31" t="s">
        <v>70</v>
      </c>
    </row>
    <row r="73" spans="1:7" x14ac:dyDescent="0.25">
      <c r="A73" s="24"/>
      <c r="B73" s="24"/>
      <c r="C73" s="24"/>
      <c r="D73" s="24"/>
      <c r="E73" s="24"/>
      <c r="F73" s="24"/>
      <c r="G73" s="24"/>
    </row>
    <row r="75" spans="1:7" x14ac:dyDescent="0.25">
      <c r="A75" s="28" t="s">
        <v>69</v>
      </c>
      <c r="B75" s="27">
        <f>((B71/B72)*D71)/F72</f>
        <v>0</v>
      </c>
      <c r="C75" s="29" t="s">
        <v>72</v>
      </c>
      <c r="D75" s="125" t="s">
        <v>69</v>
      </c>
      <c r="E75" s="126">
        <f>B75*(2000/8760)</f>
        <v>0</v>
      </c>
      <c r="F75" s="33" t="s">
        <v>70</v>
      </c>
      <c r="G75" s="24"/>
    </row>
    <row r="76" spans="1:7" x14ac:dyDescent="0.25">
      <c r="A76" s="24"/>
      <c r="B76" s="24"/>
      <c r="C76" s="26" t="s">
        <v>73</v>
      </c>
      <c r="D76" s="24"/>
      <c r="E76" s="24"/>
      <c r="F76" s="31" t="s">
        <v>128</v>
      </c>
      <c r="G76" s="24"/>
    </row>
  </sheetData>
  <mergeCells count="14">
    <mergeCell ref="F71:G71"/>
    <mergeCell ref="D72:E72"/>
    <mergeCell ref="F62:G62"/>
    <mergeCell ref="D63:E63"/>
    <mergeCell ref="D28:E28"/>
    <mergeCell ref="F36:G36"/>
    <mergeCell ref="D37:E37"/>
    <mergeCell ref="F51:G51"/>
    <mergeCell ref="D52:E52"/>
    <mergeCell ref="F18:G18"/>
    <mergeCell ref="D19:E19"/>
    <mergeCell ref="F27:G27"/>
    <mergeCell ref="A1:G1"/>
    <mergeCell ref="E11:F1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A1:D29"/>
  <sheetViews>
    <sheetView view="pageLayout" topLeftCell="A4" zoomScaleNormal="100" workbookViewId="0">
      <selection activeCell="A15" sqref="A15:B15"/>
    </sheetView>
  </sheetViews>
  <sheetFormatPr defaultRowHeight="15" x14ac:dyDescent="0.25"/>
  <cols>
    <col min="1" max="1" width="15.42578125" customWidth="1"/>
    <col min="2" max="2" width="12.5703125" customWidth="1"/>
    <col min="3" max="3" width="22.28515625" customWidth="1"/>
    <col min="4" max="4" width="19.7109375" customWidth="1"/>
  </cols>
  <sheetData>
    <row r="1" spans="1:4" ht="15.75" x14ac:dyDescent="0.25">
      <c r="A1" s="868" t="s">
        <v>94</v>
      </c>
      <c r="B1" s="868"/>
      <c r="C1" s="868"/>
      <c r="D1" s="868"/>
    </row>
    <row r="2" spans="1:4" ht="15.75" x14ac:dyDescent="0.25">
      <c r="A2" s="257"/>
      <c r="B2" s="255"/>
      <c r="C2" s="255"/>
      <c r="D2" s="255"/>
    </row>
    <row r="3" spans="1:4" x14ac:dyDescent="0.25">
      <c r="A3" s="874" t="s">
        <v>95</v>
      </c>
      <c r="B3" s="874"/>
      <c r="C3" s="874"/>
      <c r="D3" s="874"/>
    </row>
    <row r="4" spans="1:4" x14ac:dyDescent="0.25">
      <c r="A4" s="874" t="s">
        <v>230</v>
      </c>
      <c r="B4" s="874"/>
      <c r="C4" s="874"/>
      <c r="D4" s="874"/>
    </row>
    <row r="5" spans="1:4" x14ac:dyDescent="0.25">
      <c r="A5" s="873" t="s">
        <v>371</v>
      </c>
      <c r="B5" s="874"/>
      <c r="C5" s="874"/>
      <c r="D5" s="874"/>
    </row>
    <row r="6" spans="1:4" x14ac:dyDescent="0.25">
      <c r="A6" s="259"/>
      <c r="B6" s="259"/>
      <c r="C6" s="259"/>
      <c r="D6" s="259"/>
    </row>
    <row r="7" spans="1:4" x14ac:dyDescent="0.25">
      <c r="A7" s="875" t="s">
        <v>397</v>
      </c>
      <c r="B7" s="875"/>
      <c r="C7" s="875"/>
      <c r="D7" s="875"/>
    </row>
    <row r="8" spans="1:4" ht="16.5" thickBot="1" x14ac:dyDescent="0.3">
      <c r="A8" s="258"/>
      <c r="B8" s="255"/>
      <c r="C8" s="255"/>
      <c r="D8" s="255"/>
    </row>
    <row r="9" spans="1:4" ht="15.75" thickTop="1" x14ac:dyDescent="0.25">
      <c r="A9" s="869" t="s">
        <v>97</v>
      </c>
      <c r="B9" s="870"/>
      <c r="C9" s="263" t="s">
        <v>98</v>
      </c>
      <c r="D9" s="264" t="s">
        <v>98</v>
      </c>
    </row>
    <row r="10" spans="1:4" ht="15.75" thickBot="1" x14ac:dyDescent="0.3">
      <c r="A10" s="871"/>
      <c r="B10" s="872"/>
      <c r="C10" s="265" t="s">
        <v>99</v>
      </c>
      <c r="D10" s="266" t="s">
        <v>100</v>
      </c>
    </row>
    <row r="11" spans="1:4" ht="16.5" thickTop="1" x14ac:dyDescent="0.25">
      <c r="A11" s="878" t="s">
        <v>54</v>
      </c>
      <c r="B11" s="879"/>
      <c r="C11" s="260">
        <v>9.86</v>
      </c>
      <c r="D11" s="267">
        <f>'Cálculos Jobos'!B23+'Cálculos Jobos'!L23</f>
        <v>0</v>
      </c>
    </row>
    <row r="12" spans="1:4" ht="15.75" x14ac:dyDescent="0.25">
      <c r="A12" s="1042" t="s">
        <v>56</v>
      </c>
      <c r="B12" s="1042"/>
      <c r="C12" s="261">
        <v>414.78</v>
      </c>
      <c r="D12" s="267">
        <f>'Cálculos Jobos'!B33+'Cálculos Jobos'!L33</f>
        <v>0</v>
      </c>
    </row>
    <row r="13" spans="1:4" ht="15.75" x14ac:dyDescent="0.25">
      <c r="A13" s="1042" t="s">
        <v>57</v>
      </c>
      <c r="B13" s="1042"/>
      <c r="C13" s="261">
        <v>722.78</v>
      </c>
      <c r="D13" s="267">
        <f>'Cálculos Jobos'!B43+'Cálculos Jobos'!L43</f>
        <v>0</v>
      </c>
    </row>
    <row r="14" spans="1:4" ht="15.75" x14ac:dyDescent="0.25">
      <c r="A14" s="1042" t="s">
        <v>59</v>
      </c>
      <c r="B14" s="1042"/>
      <c r="C14" s="261">
        <v>0.34</v>
      </c>
      <c r="D14" s="267">
        <f>'Cálculos Jobos'!B53+'Cálculos Jobos'!L53</f>
        <v>0</v>
      </c>
    </row>
    <row r="15" spans="1:4" ht="15.75" x14ac:dyDescent="0.25">
      <c r="A15" s="1042" t="s">
        <v>61</v>
      </c>
      <c r="B15" s="1042"/>
      <c r="C15" s="260">
        <v>2.71</v>
      </c>
      <c r="D15" s="267">
        <f>'Cálculos Jobos'!B63+'Cálculos Jobos'!L63</f>
        <v>0</v>
      </c>
    </row>
    <row r="16" spans="1:4" ht="15.75" x14ac:dyDescent="0.25">
      <c r="A16" s="1042" t="s">
        <v>102</v>
      </c>
      <c r="B16" s="1042"/>
      <c r="C16" s="262">
        <v>1.0999999999999999E-2</v>
      </c>
      <c r="D16" s="262">
        <f>'Cálculos Jobos'!B73+'Cálculos Jobos'!L73</f>
        <v>0</v>
      </c>
    </row>
    <row r="17" spans="1:4" ht="18.75" x14ac:dyDescent="0.25">
      <c r="A17" s="876" t="s">
        <v>317</v>
      </c>
      <c r="B17" s="876"/>
      <c r="C17" s="74"/>
      <c r="D17" s="515">
        <f>'Cálculos Jobos'!B83+'Cálculos Jobos'!L83</f>
        <v>0</v>
      </c>
    </row>
    <row r="18" spans="1:4" ht="15.75" x14ac:dyDescent="0.25">
      <c r="A18" s="258"/>
      <c r="B18" s="255"/>
      <c r="C18" s="255"/>
      <c r="D18" s="255"/>
    </row>
    <row r="19" spans="1:4" ht="15.75" x14ac:dyDescent="0.25">
      <c r="A19" s="258" t="s">
        <v>103</v>
      </c>
      <c r="B19" s="255"/>
      <c r="C19" s="255"/>
      <c r="D19" s="255"/>
    </row>
    <row r="20" spans="1:4" ht="15.75" x14ac:dyDescent="0.25">
      <c r="A20" s="258" t="s">
        <v>104</v>
      </c>
      <c r="B20" s="255"/>
      <c r="C20" s="255"/>
      <c r="D20" s="255"/>
    </row>
    <row r="21" spans="1:4" ht="15.75" x14ac:dyDescent="0.25">
      <c r="A21" s="258" t="s">
        <v>105</v>
      </c>
      <c r="B21" s="255"/>
      <c r="C21" s="255"/>
      <c r="D21" s="255"/>
    </row>
    <row r="22" spans="1:4" ht="15.75" x14ac:dyDescent="0.25">
      <c r="A22" s="258" t="s">
        <v>106</v>
      </c>
      <c r="B22" s="255"/>
      <c r="C22" s="255"/>
      <c r="D22" s="255"/>
    </row>
    <row r="23" spans="1:4" ht="15.75" x14ac:dyDescent="0.25">
      <c r="A23" s="258"/>
      <c r="B23" s="255"/>
      <c r="C23" s="255"/>
      <c r="D23" s="255"/>
    </row>
    <row r="24" spans="1:4" ht="15.75" x14ac:dyDescent="0.25">
      <c r="A24" s="258" t="s">
        <v>107</v>
      </c>
      <c r="B24" s="255"/>
      <c r="C24" s="255"/>
      <c r="D24" s="255"/>
    </row>
    <row r="25" spans="1:4" ht="15.75" x14ac:dyDescent="0.25">
      <c r="A25" s="258"/>
      <c r="B25" s="255"/>
      <c r="C25" s="255"/>
      <c r="D25" s="255"/>
    </row>
    <row r="26" spans="1:4" ht="15.75" x14ac:dyDescent="0.25">
      <c r="A26" s="258" t="s">
        <v>108</v>
      </c>
      <c r="B26" s="255"/>
      <c r="C26" s="255"/>
      <c r="D26" s="255"/>
    </row>
    <row r="27" spans="1:4" ht="15.75" x14ac:dyDescent="0.25">
      <c r="A27" s="258" t="s">
        <v>109</v>
      </c>
      <c r="B27" s="255"/>
      <c r="C27" s="255"/>
      <c r="D27" s="255"/>
    </row>
    <row r="29" spans="1:4" ht="15.75" x14ac:dyDescent="0.25">
      <c r="A29" s="51" t="s">
        <v>312</v>
      </c>
    </row>
  </sheetData>
  <mergeCells count="13">
    <mergeCell ref="A17:B17"/>
    <mergeCell ref="A16:B16"/>
    <mergeCell ref="A11:B11"/>
    <mergeCell ref="A12:B12"/>
    <mergeCell ref="A13:B13"/>
    <mergeCell ref="A14:B14"/>
    <mergeCell ref="A15:B15"/>
    <mergeCell ref="A1:D1"/>
    <mergeCell ref="A9:B10"/>
    <mergeCell ref="A5:D5"/>
    <mergeCell ref="A4:D4"/>
    <mergeCell ref="A3:D3"/>
    <mergeCell ref="A7:D7"/>
  </mergeCells>
  <pageMargins left="1.197916666666666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/>
  <dimension ref="A1:AP77"/>
  <sheetViews>
    <sheetView workbookViewId="0">
      <selection activeCell="AI10" sqref="AI10"/>
    </sheetView>
  </sheetViews>
  <sheetFormatPr defaultRowHeight="15" x14ac:dyDescent="0.25"/>
  <cols>
    <col min="1" max="1" width="12.42578125" customWidth="1"/>
    <col min="2" max="2" width="18.42578125" customWidth="1"/>
    <col min="3" max="3" width="8.140625" customWidth="1"/>
    <col min="4" max="4" width="10.7109375" customWidth="1"/>
    <col min="5" max="5" width="7.28515625" customWidth="1"/>
    <col min="7" max="7" width="7.140625" customWidth="1"/>
    <col min="8" max="8" width="6.5703125" customWidth="1"/>
    <col min="9" max="9" width="4.28515625" customWidth="1"/>
    <col min="10" max="10" width="4.5703125" customWidth="1"/>
    <col min="11" max="11" width="11.42578125" customWidth="1"/>
    <col min="12" max="12" width="12.85546875" customWidth="1"/>
    <col min="15" max="15" width="7.5703125" customWidth="1"/>
    <col min="16" max="16" width="6.7109375" customWidth="1"/>
    <col min="18" max="18" width="5.5703125" customWidth="1"/>
    <col min="19" max="19" width="4.85546875" customWidth="1"/>
    <col min="21" max="21" width="13.140625" customWidth="1"/>
    <col min="22" max="22" width="11.5703125" customWidth="1"/>
    <col min="25" max="25" width="7.140625" customWidth="1"/>
    <col min="27" max="27" width="7.7109375" customWidth="1"/>
    <col min="28" max="28" width="6.5703125" customWidth="1"/>
    <col min="29" max="30" width="5.5703125" customWidth="1"/>
    <col min="31" max="31" width="10.85546875" customWidth="1"/>
    <col min="32" max="32" width="15" customWidth="1"/>
    <col min="33" max="33" width="8.42578125" customWidth="1"/>
    <col min="35" max="35" width="7.85546875" customWidth="1"/>
    <col min="37" max="37" width="8" customWidth="1"/>
    <col min="38" max="38" width="7.85546875" customWidth="1"/>
    <col min="39" max="39" width="5.5703125" customWidth="1"/>
  </cols>
  <sheetData>
    <row r="1" spans="1:42" x14ac:dyDescent="0.25">
      <c r="A1" s="875" t="s">
        <v>420</v>
      </c>
      <c r="B1" s="875"/>
      <c r="C1" s="875"/>
      <c r="D1" s="875"/>
      <c r="E1" s="875"/>
      <c r="F1" s="875"/>
      <c r="G1" s="875"/>
      <c r="H1" s="875"/>
      <c r="I1" s="875"/>
      <c r="J1" s="281"/>
      <c r="K1" s="875" t="s">
        <v>421</v>
      </c>
      <c r="L1" s="875"/>
      <c r="M1" s="875"/>
      <c r="N1" s="875"/>
      <c r="O1" s="875"/>
      <c r="P1" s="875"/>
      <c r="Q1" s="875"/>
      <c r="R1" s="875"/>
      <c r="S1" s="875"/>
      <c r="U1" s="875" t="s">
        <v>422</v>
      </c>
      <c r="V1" s="875"/>
      <c r="W1" s="875"/>
      <c r="X1" s="875"/>
      <c r="Y1" s="875"/>
      <c r="Z1" s="875"/>
      <c r="AA1" s="875"/>
      <c r="AB1" s="875"/>
      <c r="AC1" s="875"/>
      <c r="AE1" s="875" t="s">
        <v>425</v>
      </c>
      <c r="AF1" s="875"/>
      <c r="AG1" s="875"/>
      <c r="AH1" s="875"/>
      <c r="AI1" s="875"/>
      <c r="AJ1" s="875"/>
      <c r="AK1" s="875"/>
      <c r="AL1" s="875"/>
      <c r="AM1" s="875"/>
    </row>
    <row r="3" spans="1:42" x14ac:dyDescent="0.25">
      <c r="A3" s="875" t="s">
        <v>321</v>
      </c>
      <c r="B3" s="875"/>
      <c r="C3" s="281"/>
      <c r="D3" s="255"/>
      <c r="E3" s="255"/>
      <c r="F3" s="255"/>
      <c r="G3" s="255"/>
      <c r="H3" s="255"/>
      <c r="I3" s="255"/>
      <c r="J3" s="255"/>
      <c r="K3" s="1043" t="s">
        <v>321</v>
      </c>
      <c r="L3" s="1043"/>
      <c r="M3" s="494"/>
      <c r="N3" s="495"/>
      <c r="O3" s="495"/>
      <c r="P3" s="495"/>
      <c r="Q3" s="495"/>
      <c r="R3" s="495"/>
      <c r="S3" s="495"/>
      <c r="T3" s="496"/>
      <c r="U3" s="1043" t="s">
        <v>321</v>
      </c>
      <c r="V3" s="1043"/>
      <c r="W3" s="281"/>
      <c r="X3" s="255"/>
      <c r="Y3" s="255"/>
      <c r="Z3" s="255"/>
      <c r="AA3" s="255"/>
      <c r="AB3" s="255"/>
      <c r="AC3" s="255"/>
      <c r="AE3" s="1043" t="s">
        <v>321</v>
      </c>
      <c r="AF3" s="1043"/>
      <c r="AG3" s="281"/>
      <c r="AH3" s="255"/>
      <c r="AI3" s="255"/>
      <c r="AJ3" s="255"/>
      <c r="AK3" s="255"/>
      <c r="AL3" s="255"/>
      <c r="AM3" s="255"/>
    </row>
    <row r="4" spans="1:42" x14ac:dyDescent="0.25">
      <c r="A4" s="281" t="s">
        <v>54</v>
      </c>
      <c r="B4" s="255" t="s">
        <v>81</v>
      </c>
      <c r="C4" s="255"/>
      <c r="D4" s="255"/>
      <c r="E4" s="255"/>
      <c r="F4" s="255"/>
      <c r="G4" s="255"/>
      <c r="H4" s="255"/>
      <c r="I4" s="255"/>
      <c r="J4" s="255"/>
      <c r="K4" s="281" t="s">
        <v>54</v>
      </c>
      <c r="L4" s="255" t="s">
        <v>81</v>
      </c>
      <c r="M4" s="255"/>
      <c r="N4" s="255"/>
      <c r="O4" s="255"/>
      <c r="P4" s="255"/>
      <c r="Q4" s="255"/>
      <c r="R4" s="255"/>
      <c r="S4" s="255"/>
      <c r="U4" s="281" t="s">
        <v>54</v>
      </c>
      <c r="V4" s="255" t="s">
        <v>81</v>
      </c>
      <c r="W4" s="255"/>
      <c r="X4" s="255"/>
      <c r="Y4" s="255"/>
      <c r="Z4" s="255"/>
      <c r="AA4" s="255"/>
      <c r="AB4" s="255"/>
      <c r="AC4" s="255"/>
      <c r="AE4" s="281" t="s">
        <v>54</v>
      </c>
      <c r="AF4" s="255" t="s">
        <v>81</v>
      </c>
      <c r="AG4" s="255"/>
      <c r="AH4" s="255"/>
      <c r="AI4" s="255"/>
      <c r="AJ4" s="255"/>
      <c r="AK4" s="255"/>
      <c r="AL4" s="255"/>
      <c r="AM4" s="255"/>
    </row>
    <row r="5" spans="1:42" x14ac:dyDescent="0.25">
      <c r="A5" s="281" t="s">
        <v>56</v>
      </c>
      <c r="B5" s="255" t="s">
        <v>82</v>
      </c>
      <c r="C5" s="255"/>
      <c r="D5" s="255"/>
      <c r="E5" s="255"/>
      <c r="F5" s="255"/>
      <c r="G5" s="255"/>
      <c r="H5" s="255"/>
      <c r="I5" s="255"/>
      <c r="J5" s="255"/>
      <c r="K5" s="281" t="s">
        <v>56</v>
      </c>
      <c r="L5" s="255" t="s">
        <v>82</v>
      </c>
      <c r="M5" s="255"/>
      <c r="N5" s="255"/>
      <c r="O5" s="255"/>
      <c r="P5" s="255"/>
      <c r="Q5" s="255"/>
      <c r="R5" s="255"/>
      <c r="S5" s="255"/>
      <c r="U5" s="281" t="s">
        <v>56</v>
      </c>
      <c r="V5" s="255" t="s">
        <v>82</v>
      </c>
      <c r="W5" s="255"/>
      <c r="X5" s="255"/>
      <c r="Y5" s="255"/>
      <c r="Z5" s="255"/>
      <c r="AA5" s="255"/>
      <c r="AB5" s="255"/>
      <c r="AC5" s="255"/>
      <c r="AE5" s="281" t="s">
        <v>56</v>
      </c>
      <c r="AF5" s="255" t="s">
        <v>82</v>
      </c>
      <c r="AG5" s="255"/>
      <c r="AH5" s="255"/>
      <c r="AI5" s="255"/>
      <c r="AJ5" s="255"/>
      <c r="AK5" s="255"/>
      <c r="AL5" s="255"/>
      <c r="AM5" s="255"/>
    </row>
    <row r="6" spans="1:42" x14ac:dyDescent="0.25">
      <c r="A6" s="281" t="s">
        <v>57</v>
      </c>
      <c r="B6" s="493" t="s">
        <v>320</v>
      </c>
      <c r="C6" s="493" t="s">
        <v>322</v>
      </c>
      <c r="D6" s="492"/>
      <c r="E6" s="255"/>
      <c r="F6" s="255"/>
      <c r="G6" s="255"/>
      <c r="H6" s="255"/>
      <c r="I6" s="255"/>
      <c r="J6" s="255"/>
      <c r="K6" s="281" t="s">
        <v>57</v>
      </c>
      <c r="L6" s="493" t="s">
        <v>320</v>
      </c>
      <c r="M6" s="255"/>
      <c r="N6" s="493" t="s">
        <v>322</v>
      </c>
      <c r="O6" s="255"/>
      <c r="P6" s="255"/>
      <c r="Q6" s="255"/>
      <c r="R6" s="255"/>
      <c r="S6" s="255"/>
      <c r="U6" s="281" t="s">
        <v>57</v>
      </c>
      <c r="V6" s="493" t="s">
        <v>320</v>
      </c>
      <c r="W6" s="255"/>
      <c r="X6" s="493" t="s">
        <v>322</v>
      </c>
      <c r="Y6" s="255"/>
      <c r="Z6" s="255"/>
      <c r="AA6" s="255"/>
      <c r="AB6" s="255"/>
      <c r="AC6" s="255"/>
      <c r="AE6" s="281" t="s">
        <v>57</v>
      </c>
      <c r="AF6" s="493" t="s">
        <v>320</v>
      </c>
      <c r="AG6" s="255"/>
      <c r="AH6" s="493" t="s">
        <v>322</v>
      </c>
      <c r="AI6" s="255"/>
      <c r="AJ6" s="255"/>
      <c r="AK6" s="255"/>
      <c r="AL6" s="255"/>
      <c r="AM6" s="255"/>
    </row>
    <row r="7" spans="1:42" x14ac:dyDescent="0.25">
      <c r="A7" s="281" t="s">
        <v>59</v>
      </c>
      <c r="B7" s="255" t="s">
        <v>83</v>
      </c>
      <c r="C7" s="255"/>
      <c r="D7" s="255"/>
      <c r="E7" s="255"/>
      <c r="F7" s="255"/>
      <c r="G7" s="255"/>
      <c r="H7" s="255"/>
      <c r="I7" s="255"/>
      <c r="J7" s="255"/>
      <c r="K7" s="281" t="s">
        <v>59</v>
      </c>
      <c r="L7" s="255" t="s">
        <v>83</v>
      </c>
      <c r="M7" s="255"/>
      <c r="N7" s="255"/>
      <c r="O7" s="255"/>
      <c r="P7" s="255"/>
      <c r="Q7" s="255"/>
      <c r="R7" s="255"/>
      <c r="S7" s="255"/>
      <c r="U7" s="281" t="s">
        <v>59</v>
      </c>
      <c r="V7" s="255" t="s">
        <v>83</v>
      </c>
      <c r="W7" s="255"/>
      <c r="X7" s="255"/>
      <c r="Y7" s="255"/>
      <c r="Z7" s="255"/>
      <c r="AA7" s="255"/>
      <c r="AB7" s="255"/>
      <c r="AC7" s="255"/>
      <c r="AE7" s="281" t="s">
        <v>59</v>
      </c>
      <c r="AF7" s="255" t="s">
        <v>83</v>
      </c>
      <c r="AG7" s="255"/>
      <c r="AH7" s="255"/>
      <c r="AI7" s="255"/>
      <c r="AJ7" s="255"/>
      <c r="AK7" s="255"/>
      <c r="AL7" s="255"/>
      <c r="AM7" s="255"/>
    </row>
    <row r="8" spans="1:42" x14ac:dyDescent="0.25">
      <c r="A8" s="281" t="s">
        <v>61</v>
      </c>
      <c r="B8" s="255" t="s">
        <v>84</v>
      </c>
      <c r="C8" s="255"/>
      <c r="D8" s="255"/>
      <c r="E8" s="255"/>
      <c r="F8" s="255"/>
      <c r="G8" s="255"/>
      <c r="H8" s="255"/>
      <c r="I8" s="255"/>
      <c r="J8" s="255"/>
      <c r="K8" s="281" t="s">
        <v>61</v>
      </c>
      <c r="L8" s="255" t="s">
        <v>84</v>
      </c>
      <c r="M8" s="255"/>
      <c r="N8" s="255"/>
      <c r="O8" s="255"/>
      <c r="P8" s="255"/>
      <c r="Q8" s="255"/>
      <c r="R8" s="255"/>
      <c r="S8" s="255"/>
      <c r="U8" s="281" t="s">
        <v>61</v>
      </c>
      <c r="V8" s="255" t="s">
        <v>84</v>
      </c>
      <c r="W8" s="255"/>
      <c r="X8" s="255"/>
      <c r="Y8" s="255"/>
      <c r="Z8" s="255"/>
      <c r="AA8" s="255"/>
      <c r="AB8" s="255"/>
      <c r="AC8" s="255"/>
      <c r="AE8" s="281" t="s">
        <v>61</v>
      </c>
      <c r="AF8" s="255" t="s">
        <v>84</v>
      </c>
      <c r="AG8" s="255"/>
      <c r="AH8" s="255"/>
      <c r="AI8" s="255"/>
      <c r="AJ8" s="255"/>
      <c r="AK8" s="255"/>
      <c r="AL8" s="255"/>
      <c r="AM8" s="255"/>
    </row>
    <row r="9" spans="1:42" ht="15.75" thickBot="1" x14ac:dyDescent="0.3">
      <c r="A9" s="282" t="s">
        <v>63</v>
      </c>
      <c r="B9" s="255" t="s">
        <v>150</v>
      </c>
      <c r="C9" s="255"/>
      <c r="D9" s="255"/>
      <c r="E9" s="255"/>
      <c r="F9" s="255"/>
      <c r="G9" s="255"/>
      <c r="H9" s="255"/>
      <c r="I9" s="255"/>
      <c r="J9" s="255"/>
      <c r="K9" s="282" t="s">
        <v>63</v>
      </c>
      <c r="L9" s="255" t="s">
        <v>150</v>
      </c>
      <c r="M9" s="255"/>
      <c r="N9" s="255"/>
      <c r="O9" s="255"/>
      <c r="P9" s="255"/>
      <c r="Q9" s="255"/>
      <c r="R9" s="255"/>
      <c r="S9" s="255"/>
      <c r="U9" s="282" t="s">
        <v>63</v>
      </c>
      <c r="V9" s="255" t="s">
        <v>150</v>
      </c>
      <c r="W9" s="255"/>
      <c r="X9" s="255"/>
      <c r="Y9" s="255"/>
      <c r="Z9" s="255"/>
      <c r="AA9" s="255"/>
      <c r="AB9" s="255"/>
      <c r="AC9" s="255"/>
      <c r="AE9" s="282" t="s">
        <v>63</v>
      </c>
      <c r="AF9" s="255" t="s">
        <v>150</v>
      </c>
      <c r="AG9" s="255"/>
      <c r="AH9" s="255"/>
      <c r="AI9" s="255"/>
      <c r="AJ9" s="255"/>
      <c r="AK9" s="255"/>
      <c r="AL9" s="255"/>
      <c r="AM9" s="255"/>
    </row>
    <row r="10" spans="1:42" ht="15.75" thickBot="1" x14ac:dyDescent="0.3">
      <c r="A10" s="516" t="s">
        <v>328</v>
      </c>
      <c r="B10" s="517" t="s">
        <v>337</v>
      </c>
      <c r="C10" s="518" t="s">
        <v>338</v>
      </c>
      <c r="D10" s="24"/>
      <c r="E10" s="24"/>
      <c r="F10" s="24"/>
      <c r="G10" s="24"/>
      <c r="H10" s="24"/>
      <c r="I10" s="24"/>
      <c r="K10" s="516" t="s">
        <v>328</v>
      </c>
      <c r="L10" s="517" t="s">
        <v>337</v>
      </c>
      <c r="M10" s="518" t="s">
        <v>338</v>
      </c>
      <c r="U10" s="516" t="s">
        <v>328</v>
      </c>
      <c r="V10" s="517" t="s">
        <v>337</v>
      </c>
      <c r="W10" s="518" t="s">
        <v>338</v>
      </c>
      <c r="AE10" s="516" t="s">
        <v>328</v>
      </c>
      <c r="AF10" s="517" t="s">
        <v>337</v>
      </c>
      <c r="AG10" s="518" t="s">
        <v>338</v>
      </c>
    </row>
    <row r="12" spans="1:42" x14ac:dyDescent="0.25">
      <c r="A12" s="255" t="s">
        <v>115</v>
      </c>
      <c r="B12" s="276">
        <f>Turbinas!B25</f>
        <v>0</v>
      </c>
      <c r="C12" s="276" t="s">
        <v>283</v>
      </c>
      <c r="D12" s="255"/>
      <c r="E12" s="255"/>
      <c r="F12" s="255"/>
      <c r="G12" s="255"/>
      <c r="H12" s="255"/>
      <c r="I12" s="255"/>
      <c r="J12" s="255"/>
      <c r="K12" s="255" t="s">
        <v>115</v>
      </c>
      <c r="L12" s="276">
        <f>Turbinas!C25</f>
        <v>1064</v>
      </c>
      <c r="M12" s="276" t="s">
        <v>283</v>
      </c>
      <c r="N12" s="255"/>
      <c r="O12" s="255"/>
      <c r="P12" s="255"/>
      <c r="Q12" s="255"/>
      <c r="R12" s="255"/>
      <c r="S12" s="255"/>
      <c r="U12" s="255" t="s">
        <v>115</v>
      </c>
      <c r="V12" s="276">
        <f>Turbinas!D25</f>
        <v>290842</v>
      </c>
      <c r="W12" s="276" t="s">
        <v>283</v>
      </c>
      <c r="X12" s="255"/>
      <c r="Y12" s="255"/>
      <c r="Z12" s="255"/>
      <c r="AA12" s="255"/>
      <c r="AB12" s="255"/>
      <c r="AC12" s="255"/>
      <c r="AE12" s="255" t="s">
        <v>115</v>
      </c>
      <c r="AF12" s="276">
        <f>Turbinas!E25</f>
        <v>308753</v>
      </c>
      <c r="AG12" s="276" t="s">
        <v>283</v>
      </c>
      <c r="AH12" s="255"/>
      <c r="AI12" s="255"/>
      <c r="AJ12" s="255"/>
      <c r="AK12" s="255"/>
      <c r="AL12" s="255"/>
      <c r="AM12" s="255"/>
    </row>
    <row r="13" spans="1:42" x14ac:dyDescent="0.25">
      <c r="A13" s="255" t="s">
        <v>67</v>
      </c>
      <c r="B13" s="276">
        <f>Turbinas!Y7</f>
        <v>0.01</v>
      </c>
      <c r="C13" s="277"/>
      <c r="D13" s="255"/>
      <c r="E13" s="255"/>
      <c r="F13" s="255"/>
      <c r="G13" s="255"/>
      <c r="H13" s="255"/>
      <c r="I13" s="255"/>
      <c r="J13" s="255"/>
      <c r="K13" s="255" t="s">
        <v>67</v>
      </c>
      <c r="L13" s="276">
        <f>Turbinas!Z7</f>
        <v>0.01</v>
      </c>
      <c r="M13" s="277"/>
      <c r="N13" s="255"/>
      <c r="O13" s="255"/>
      <c r="P13" s="255"/>
      <c r="Q13" s="255"/>
      <c r="R13" s="255"/>
      <c r="S13" s="255"/>
      <c r="U13" s="255" t="s">
        <v>67</v>
      </c>
      <c r="V13" s="276">
        <f>Turbinas!AA7</f>
        <v>0.01</v>
      </c>
      <c r="W13" s="277"/>
      <c r="X13" s="255"/>
      <c r="Y13" s="255"/>
      <c r="Z13" s="255"/>
      <c r="AA13" s="255"/>
      <c r="AB13" s="255"/>
      <c r="AC13" s="255"/>
      <c r="AE13" s="255" t="s">
        <v>67</v>
      </c>
      <c r="AF13" s="276">
        <f>Turbinas!AB7</f>
        <v>0.01</v>
      </c>
      <c r="AG13" s="277"/>
      <c r="AH13" s="255"/>
      <c r="AI13" s="255"/>
      <c r="AJ13" s="255"/>
      <c r="AK13" s="255"/>
      <c r="AL13" s="255"/>
      <c r="AM13" s="255"/>
      <c r="AO13">
        <f>(73.96+0.003*25+0.0006*298)*2.2046*0.138</f>
        <v>22.578420600240001</v>
      </c>
      <c r="AP13" t="s">
        <v>329</v>
      </c>
    </row>
    <row r="16" spans="1:42" x14ac:dyDescent="0.25">
      <c r="A16" s="255" t="s">
        <v>68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5" t="s">
        <v>68</v>
      </c>
      <c r="L16" s="255"/>
      <c r="M16" s="255"/>
      <c r="N16" s="255"/>
      <c r="O16" s="255"/>
      <c r="P16" s="255"/>
      <c r="Q16" s="255"/>
      <c r="R16" s="255"/>
      <c r="S16" s="255"/>
      <c r="U16" s="255" t="s">
        <v>68</v>
      </c>
      <c r="V16" s="255"/>
      <c r="W16" s="255"/>
      <c r="X16" s="255"/>
      <c r="Y16" s="255"/>
      <c r="Z16" s="255"/>
      <c r="AA16" s="255"/>
      <c r="AB16" s="255"/>
      <c r="AC16" s="255"/>
      <c r="AE16" s="255" t="s">
        <v>68</v>
      </c>
      <c r="AF16" s="255"/>
      <c r="AG16" s="255"/>
      <c r="AH16" s="255"/>
      <c r="AI16" s="255"/>
      <c r="AJ16" s="255"/>
      <c r="AK16" s="255"/>
      <c r="AL16" s="255"/>
      <c r="AM16" s="255"/>
    </row>
    <row r="18" spans="1:39" x14ac:dyDescent="0.25">
      <c r="A18" s="269" t="s">
        <v>69</v>
      </c>
      <c r="B18" s="270">
        <v>1.2E-2</v>
      </c>
      <c r="C18" s="271" t="s">
        <v>70</v>
      </c>
      <c r="D18" s="272">
        <f>B12</f>
        <v>0</v>
      </c>
      <c r="E18" s="271" t="s">
        <v>126</v>
      </c>
      <c r="F18" s="270">
        <v>0.13800000000000001</v>
      </c>
      <c r="G18" s="271" t="s">
        <v>86</v>
      </c>
      <c r="H18" s="270">
        <v>1</v>
      </c>
      <c r="I18" s="271" t="s">
        <v>72</v>
      </c>
      <c r="J18" s="259"/>
      <c r="K18" s="269" t="s">
        <v>69</v>
      </c>
      <c r="L18" s="270">
        <v>1.2E-2</v>
      </c>
      <c r="M18" s="271" t="s">
        <v>70</v>
      </c>
      <c r="N18" s="272">
        <f>L12</f>
        <v>1064</v>
      </c>
      <c r="O18" s="271" t="s">
        <v>126</v>
      </c>
      <c r="P18" s="270">
        <v>0.13800000000000001</v>
      </c>
      <c r="Q18" s="271" t="s">
        <v>86</v>
      </c>
      <c r="R18" s="270">
        <v>1</v>
      </c>
      <c r="S18" s="271" t="s">
        <v>72</v>
      </c>
      <c r="U18" s="269" t="s">
        <v>69</v>
      </c>
      <c r="V18" s="270">
        <v>1.2E-2</v>
      </c>
      <c r="W18" s="271" t="s">
        <v>70</v>
      </c>
      <c r="X18" s="272">
        <f>V12</f>
        <v>290842</v>
      </c>
      <c r="Y18" s="271" t="s">
        <v>126</v>
      </c>
      <c r="Z18" s="270">
        <v>0.13800000000000001</v>
      </c>
      <c r="AA18" s="271" t="s">
        <v>86</v>
      </c>
      <c r="AB18" s="270">
        <v>1</v>
      </c>
      <c r="AC18" s="271" t="s">
        <v>72</v>
      </c>
      <c r="AE18" s="269" t="s">
        <v>69</v>
      </c>
      <c r="AF18" s="270">
        <v>1.2E-2</v>
      </c>
      <c r="AG18" s="271" t="s">
        <v>70</v>
      </c>
      <c r="AH18" s="272">
        <f>AF12</f>
        <v>308753</v>
      </c>
      <c r="AI18" s="271" t="s">
        <v>126</v>
      </c>
      <c r="AJ18" s="270">
        <v>0.13800000000000001</v>
      </c>
      <c r="AK18" s="271" t="s">
        <v>86</v>
      </c>
      <c r="AL18" s="270">
        <v>1</v>
      </c>
      <c r="AM18" s="271" t="s">
        <v>72</v>
      </c>
    </row>
    <row r="19" spans="1:39" x14ac:dyDescent="0.25">
      <c r="A19" s="255"/>
      <c r="B19" s="283"/>
      <c r="C19" s="284" t="s">
        <v>86</v>
      </c>
      <c r="D19" s="283"/>
      <c r="E19" s="284" t="s">
        <v>279</v>
      </c>
      <c r="F19" s="283"/>
      <c r="G19" s="284" t="s">
        <v>71</v>
      </c>
      <c r="H19" s="274">
        <v>2000</v>
      </c>
      <c r="I19" s="255" t="s">
        <v>70</v>
      </c>
      <c r="J19" s="259"/>
      <c r="K19" s="255"/>
      <c r="L19" s="283"/>
      <c r="M19" s="284" t="s">
        <v>86</v>
      </c>
      <c r="N19" s="283"/>
      <c r="O19" s="284" t="s">
        <v>279</v>
      </c>
      <c r="P19" s="283"/>
      <c r="Q19" s="284" t="s">
        <v>71</v>
      </c>
      <c r="R19" s="274">
        <v>2000</v>
      </c>
      <c r="S19" s="255" t="s">
        <v>70</v>
      </c>
      <c r="U19" s="255"/>
      <c r="V19" s="283"/>
      <c r="W19" s="284" t="s">
        <v>86</v>
      </c>
      <c r="X19" s="283"/>
      <c r="Y19" s="284" t="s">
        <v>279</v>
      </c>
      <c r="Z19" s="283"/>
      <c r="AA19" s="284" t="s">
        <v>71</v>
      </c>
      <c r="AB19" s="274">
        <v>2000</v>
      </c>
      <c r="AC19" s="255" t="s">
        <v>70</v>
      </c>
      <c r="AE19" s="255"/>
      <c r="AF19" s="283"/>
      <c r="AG19" s="284" t="s">
        <v>86</v>
      </c>
      <c r="AH19" s="283"/>
      <c r="AI19" s="284" t="s">
        <v>279</v>
      </c>
      <c r="AJ19" s="283"/>
      <c r="AK19" s="284" t="s">
        <v>71</v>
      </c>
      <c r="AL19" s="274">
        <v>2000</v>
      </c>
      <c r="AM19" s="255" t="s">
        <v>70</v>
      </c>
    </row>
    <row r="20" spans="1:39" x14ac:dyDescent="0.25">
      <c r="A20" s="255"/>
      <c r="B20" s="255"/>
      <c r="C20" s="255"/>
      <c r="D20" s="255"/>
      <c r="E20" s="255"/>
      <c r="F20" s="255"/>
      <c r="G20" s="255"/>
      <c r="H20" s="255"/>
      <c r="I20" s="255"/>
      <c r="J20" s="259"/>
      <c r="K20" s="255"/>
      <c r="L20" s="255"/>
      <c r="M20" s="255"/>
      <c r="N20" s="255"/>
      <c r="O20" s="255"/>
      <c r="P20" s="255"/>
      <c r="Q20" s="255"/>
      <c r="R20" s="255"/>
      <c r="S20" s="255"/>
      <c r="U20" s="255"/>
      <c r="V20" s="255"/>
      <c r="W20" s="255"/>
      <c r="X20" s="255"/>
      <c r="Y20" s="255"/>
      <c r="Z20" s="255"/>
      <c r="AA20" s="255"/>
      <c r="AB20" s="255"/>
      <c r="AC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39" x14ac:dyDescent="0.25">
      <c r="A21" s="269" t="s">
        <v>69</v>
      </c>
      <c r="B21" s="268">
        <f>(B18*D18*F18)/H19</f>
        <v>0</v>
      </c>
      <c r="C21" s="273" t="s">
        <v>72</v>
      </c>
      <c r="D21" s="255"/>
      <c r="E21" s="269" t="s">
        <v>69</v>
      </c>
      <c r="F21" s="285">
        <f>B21*2000/8760</f>
        <v>0</v>
      </c>
      <c r="G21" s="271" t="s">
        <v>70</v>
      </c>
      <c r="H21" s="255"/>
      <c r="I21" s="255"/>
      <c r="J21" s="259"/>
      <c r="K21" s="269" t="s">
        <v>69</v>
      </c>
      <c r="L21" s="268">
        <f>(L18*N18*P18)/R19</f>
        <v>8.8099200000000015E-4</v>
      </c>
      <c r="M21" s="273" t="s">
        <v>72</v>
      </c>
      <c r="N21" s="255"/>
      <c r="O21" s="269" t="s">
        <v>69</v>
      </c>
      <c r="P21" s="285">
        <f>L21*2000/8760</f>
        <v>2.0113972602739727E-4</v>
      </c>
      <c r="Q21" s="271" t="s">
        <v>70</v>
      </c>
      <c r="R21" s="255"/>
      <c r="S21" s="255"/>
      <c r="U21" s="269" t="s">
        <v>69</v>
      </c>
      <c r="V21" s="268">
        <f>(V18*X18*Z18)/AB19</f>
        <v>0.24081717600000005</v>
      </c>
      <c r="W21" s="273" t="s">
        <v>72</v>
      </c>
      <c r="X21" s="255"/>
      <c r="Y21" s="269" t="s">
        <v>69</v>
      </c>
      <c r="Z21" s="285">
        <f>V21*2000/8760</f>
        <v>5.4981090410958916E-2</v>
      </c>
      <c r="AA21" s="271" t="s">
        <v>70</v>
      </c>
      <c r="AB21" s="255"/>
      <c r="AC21" s="255"/>
      <c r="AE21" s="269" t="s">
        <v>69</v>
      </c>
      <c r="AF21" s="268">
        <f>(AF18*AH18*AJ18)/AL19</f>
        <v>0.25564748400000004</v>
      </c>
      <c r="AG21" s="273" t="s">
        <v>72</v>
      </c>
      <c r="AH21" s="255"/>
      <c r="AI21" s="269" t="s">
        <v>69</v>
      </c>
      <c r="AJ21" s="285">
        <f>AF21*2000/8760</f>
        <v>5.8367005479452068E-2</v>
      </c>
      <c r="AK21" s="271" t="s">
        <v>70</v>
      </c>
      <c r="AL21" s="255"/>
      <c r="AM21" s="255"/>
    </row>
    <row r="22" spans="1:39" x14ac:dyDescent="0.25">
      <c r="A22" s="255"/>
      <c r="B22" s="255"/>
      <c r="C22" s="259" t="s">
        <v>279</v>
      </c>
      <c r="D22" s="255"/>
      <c r="E22" s="255"/>
      <c r="F22" s="255"/>
      <c r="G22" s="255" t="s">
        <v>128</v>
      </c>
      <c r="H22" s="255"/>
      <c r="I22" s="255"/>
      <c r="J22" s="259"/>
      <c r="K22" s="255"/>
      <c r="L22" s="255"/>
      <c r="M22" s="259" t="s">
        <v>279</v>
      </c>
      <c r="N22" s="255"/>
      <c r="O22" s="255"/>
      <c r="P22" s="255"/>
      <c r="Q22" s="255" t="s">
        <v>128</v>
      </c>
      <c r="R22" s="255"/>
      <c r="S22" s="255"/>
      <c r="U22" s="255"/>
      <c r="V22" s="255"/>
      <c r="W22" s="259" t="s">
        <v>279</v>
      </c>
      <c r="X22" s="255"/>
      <c r="Y22" s="255"/>
      <c r="Z22" s="255"/>
      <c r="AA22" s="255" t="s">
        <v>128</v>
      </c>
      <c r="AB22" s="255"/>
      <c r="AC22" s="255"/>
      <c r="AE22" s="255"/>
      <c r="AF22" s="255"/>
      <c r="AG22" s="259" t="s">
        <v>279</v>
      </c>
      <c r="AH22" s="255"/>
      <c r="AI22" s="255"/>
      <c r="AJ22" s="255"/>
      <c r="AK22" s="255" t="s">
        <v>128</v>
      </c>
      <c r="AL22" s="255"/>
      <c r="AM22" s="255"/>
    </row>
    <row r="23" spans="1:39" x14ac:dyDescent="0.25">
      <c r="A23" s="255"/>
      <c r="B23" s="255"/>
      <c r="C23" s="255"/>
      <c r="D23" s="255"/>
      <c r="E23" s="255"/>
      <c r="F23" s="255"/>
      <c r="G23" s="255"/>
      <c r="H23" s="255"/>
      <c r="I23" s="255"/>
      <c r="J23" s="259"/>
      <c r="K23" s="255"/>
      <c r="L23" s="255"/>
      <c r="M23" s="255"/>
      <c r="N23" s="255"/>
      <c r="O23" s="255"/>
      <c r="P23" s="255"/>
      <c r="Q23" s="255"/>
      <c r="R23" s="255"/>
      <c r="S23" s="255"/>
      <c r="U23" s="255"/>
      <c r="V23" s="255"/>
      <c r="W23" s="255"/>
      <c r="X23" s="255"/>
      <c r="Y23" s="255"/>
      <c r="Z23" s="255"/>
      <c r="AA23" s="255"/>
      <c r="AB23" s="255"/>
      <c r="AC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39" x14ac:dyDescent="0.25">
      <c r="A24" s="255" t="s">
        <v>74</v>
      </c>
      <c r="B24" s="255"/>
      <c r="C24" s="255"/>
      <c r="D24" s="255"/>
      <c r="E24" s="255"/>
      <c r="F24" s="255"/>
      <c r="G24" s="255"/>
      <c r="H24" s="255"/>
      <c r="I24" s="255"/>
      <c r="J24" s="259"/>
      <c r="K24" s="255" t="s">
        <v>74</v>
      </c>
      <c r="L24" s="255"/>
      <c r="M24" s="255"/>
      <c r="N24" s="255"/>
      <c r="O24" s="255"/>
      <c r="P24" s="255"/>
      <c r="Q24" s="255"/>
      <c r="R24" s="255"/>
      <c r="S24" s="255"/>
      <c r="U24" s="255" t="s">
        <v>74</v>
      </c>
      <c r="V24" s="255"/>
      <c r="W24" s="255"/>
      <c r="X24" s="255"/>
      <c r="Y24" s="255"/>
      <c r="Z24" s="255"/>
      <c r="AA24" s="255"/>
      <c r="AB24" s="255"/>
      <c r="AC24" s="255"/>
      <c r="AE24" s="255" t="s">
        <v>74</v>
      </c>
      <c r="AF24" s="255"/>
      <c r="AG24" s="255"/>
      <c r="AH24" s="255"/>
      <c r="AI24" s="255"/>
      <c r="AJ24" s="255"/>
      <c r="AK24" s="255"/>
      <c r="AL24" s="255"/>
      <c r="AM24" s="255"/>
    </row>
    <row r="25" spans="1:39" x14ac:dyDescent="0.25">
      <c r="A25" s="255"/>
      <c r="B25" s="255"/>
      <c r="C25" s="255"/>
      <c r="D25" s="255"/>
      <c r="E25" s="255"/>
      <c r="F25" s="255"/>
      <c r="G25" s="255"/>
      <c r="H25" s="255"/>
      <c r="I25" s="255"/>
      <c r="J25" s="259"/>
      <c r="K25" s="255"/>
      <c r="L25" s="255"/>
      <c r="M25" s="255"/>
      <c r="N25" s="255"/>
      <c r="O25" s="255"/>
      <c r="P25" s="255"/>
      <c r="Q25" s="255"/>
      <c r="R25" s="255"/>
      <c r="S25" s="255"/>
      <c r="U25" s="255"/>
      <c r="V25" s="255"/>
      <c r="W25" s="255"/>
      <c r="X25" s="255"/>
      <c r="Y25" s="255"/>
      <c r="Z25" s="255"/>
      <c r="AA25" s="255"/>
      <c r="AB25" s="255"/>
      <c r="AC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39" x14ac:dyDescent="0.25">
      <c r="A26" s="269" t="s">
        <v>69</v>
      </c>
      <c r="B26" s="275">
        <f>1.01*B13</f>
        <v>1.01E-2</v>
      </c>
      <c r="C26" s="271" t="s">
        <v>70</v>
      </c>
      <c r="D26" s="272">
        <f>B12</f>
        <v>0</v>
      </c>
      <c r="E26" s="271" t="s">
        <v>126</v>
      </c>
      <c r="F26" s="270">
        <v>0.13800000000000001</v>
      </c>
      <c r="G26" s="271" t="s">
        <v>86</v>
      </c>
      <c r="H26" s="270">
        <v>1</v>
      </c>
      <c r="I26" s="271" t="s">
        <v>72</v>
      </c>
      <c r="J26" s="259"/>
      <c r="K26" s="269" t="s">
        <v>69</v>
      </c>
      <c r="L26" s="275">
        <f>1.01*L13</f>
        <v>1.01E-2</v>
      </c>
      <c r="M26" s="271" t="s">
        <v>70</v>
      </c>
      <c r="N26" s="272">
        <f>L12</f>
        <v>1064</v>
      </c>
      <c r="O26" s="271" t="s">
        <v>126</v>
      </c>
      <c r="P26" s="270">
        <v>0.13800000000000001</v>
      </c>
      <c r="Q26" s="271" t="s">
        <v>86</v>
      </c>
      <c r="R26" s="270">
        <v>1</v>
      </c>
      <c r="S26" s="271" t="s">
        <v>72</v>
      </c>
      <c r="U26" s="269" t="s">
        <v>69</v>
      </c>
      <c r="V26" s="275">
        <f>1.01*V13</f>
        <v>1.01E-2</v>
      </c>
      <c r="W26" s="271" t="s">
        <v>70</v>
      </c>
      <c r="X26" s="272">
        <f>V12</f>
        <v>290842</v>
      </c>
      <c r="Y26" s="271" t="s">
        <v>126</v>
      </c>
      <c r="Z26" s="270">
        <v>0.13800000000000001</v>
      </c>
      <c r="AA26" s="271" t="s">
        <v>86</v>
      </c>
      <c r="AB26" s="270">
        <v>1</v>
      </c>
      <c r="AC26" s="271" t="s">
        <v>72</v>
      </c>
      <c r="AE26" s="269" t="s">
        <v>69</v>
      </c>
      <c r="AF26" s="275">
        <f>1.01*AF13</f>
        <v>1.01E-2</v>
      </c>
      <c r="AG26" s="271" t="s">
        <v>70</v>
      </c>
      <c r="AH26" s="272">
        <f>AF12</f>
        <v>308753</v>
      </c>
      <c r="AI26" s="271" t="s">
        <v>126</v>
      </c>
      <c r="AJ26" s="270">
        <v>0.13800000000000001</v>
      </c>
      <c r="AK26" s="271" t="s">
        <v>86</v>
      </c>
      <c r="AL26" s="270">
        <v>1</v>
      </c>
      <c r="AM26" s="271" t="s">
        <v>72</v>
      </c>
    </row>
    <row r="27" spans="1:39" x14ac:dyDescent="0.25">
      <c r="A27" s="255"/>
      <c r="B27" s="283"/>
      <c r="C27" s="284" t="s">
        <v>86</v>
      </c>
      <c r="D27" s="283"/>
      <c r="E27" s="284" t="s">
        <v>279</v>
      </c>
      <c r="F27" s="283"/>
      <c r="G27" s="284" t="s">
        <v>71</v>
      </c>
      <c r="H27" s="274">
        <v>2000</v>
      </c>
      <c r="I27" s="255" t="s">
        <v>70</v>
      </c>
      <c r="J27" s="259"/>
      <c r="K27" s="255"/>
      <c r="L27" s="283"/>
      <c r="M27" s="284" t="s">
        <v>86</v>
      </c>
      <c r="N27" s="283"/>
      <c r="O27" s="284" t="s">
        <v>279</v>
      </c>
      <c r="P27" s="283"/>
      <c r="Q27" s="284" t="s">
        <v>71</v>
      </c>
      <c r="R27" s="274">
        <v>2000</v>
      </c>
      <c r="S27" s="255" t="s">
        <v>70</v>
      </c>
      <c r="U27" s="255"/>
      <c r="V27" s="283"/>
      <c r="W27" s="284" t="s">
        <v>86</v>
      </c>
      <c r="X27" s="283"/>
      <c r="Y27" s="284" t="s">
        <v>279</v>
      </c>
      <c r="Z27" s="283"/>
      <c r="AA27" s="284" t="s">
        <v>71</v>
      </c>
      <c r="AB27" s="274">
        <v>2000</v>
      </c>
      <c r="AC27" s="255" t="s">
        <v>70</v>
      </c>
      <c r="AE27" s="255"/>
      <c r="AF27" s="283"/>
      <c r="AG27" s="284" t="s">
        <v>86</v>
      </c>
      <c r="AH27" s="283"/>
      <c r="AI27" s="284" t="s">
        <v>279</v>
      </c>
      <c r="AJ27" s="283"/>
      <c r="AK27" s="284" t="s">
        <v>71</v>
      </c>
      <c r="AL27" s="274">
        <v>2000</v>
      </c>
      <c r="AM27" s="255" t="s">
        <v>70</v>
      </c>
    </row>
    <row r="28" spans="1:39" x14ac:dyDescent="0.25">
      <c r="A28" s="255"/>
      <c r="B28" s="255"/>
      <c r="C28" s="255"/>
      <c r="D28" s="255"/>
      <c r="E28" s="255"/>
      <c r="F28" s="255"/>
      <c r="G28" s="255"/>
      <c r="H28" s="255"/>
      <c r="I28" s="255"/>
      <c r="J28" s="259"/>
      <c r="K28" s="255"/>
      <c r="L28" s="255"/>
      <c r="M28" s="255"/>
      <c r="N28" s="255"/>
      <c r="O28" s="255"/>
      <c r="P28" s="255"/>
      <c r="Q28" s="255"/>
      <c r="R28" s="255"/>
      <c r="S28" s="255"/>
      <c r="U28" s="255"/>
      <c r="V28" s="255"/>
      <c r="W28" s="255"/>
      <c r="X28" s="255"/>
      <c r="Y28" s="255"/>
      <c r="Z28" s="255"/>
      <c r="AA28" s="255"/>
      <c r="AB28" s="255"/>
      <c r="AC28" s="255"/>
      <c r="AE28" s="255"/>
      <c r="AF28" s="255"/>
      <c r="AG28" s="255"/>
      <c r="AH28" s="255"/>
      <c r="AI28" s="255"/>
      <c r="AJ28" s="255"/>
      <c r="AK28" s="255"/>
      <c r="AL28" s="255"/>
      <c r="AM28" s="255"/>
    </row>
    <row r="29" spans="1:39" x14ac:dyDescent="0.25">
      <c r="A29" s="269" t="s">
        <v>69</v>
      </c>
      <c r="B29" s="268">
        <f>(B26*D26*F26)/H27</f>
        <v>0</v>
      </c>
      <c r="C29" s="273" t="s">
        <v>72</v>
      </c>
      <c r="D29" s="255"/>
      <c r="E29" s="269" t="s">
        <v>69</v>
      </c>
      <c r="F29" s="285">
        <f>B29*2000/8760</f>
        <v>0</v>
      </c>
      <c r="G29" s="271" t="s">
        <v>70</v>
      </c>
      <c r="H29" s="255"/>
      <c r="I29" s="255"/>
      <c r="J29" s="259"/>
      <c r="K29" s="269" t="s">
        <v>69</v>
      </c>
      <c r="L29" s="268">
        <f>(L26*N26*P26)/R27</f>
        <v>7.4150159999999998E-4</v>
      </c>
      <c r="M29" s="273" t="s">
        <v>72</v>
      </c>
      <c r="N29" s="255"/>
      <c r="O29" s="269" t="s">
        <v>69</v>
      </c>
      <c r="P29" s="285">
        <f>L29*2000/8760</f>
        <v>1.6929260273972603E-4</v>
      </c>
      <c r="Q29" s="271" t="s">
        <v>70</v>
      </c>
      <c r="R29" s="255"/>
      <c r="S29" s="255"/>
      <c r="U29" s="269" t="s">
        <v>69</v>
      </c>
      <c r="V29" s="268">
        <f>(V26*X26*Z26)/AB27</f>
        <v>0.20268778980000002</v>
      </c>
      <c r="W29" s="273" t="s">
        <v>72</v>
      </c>
      <c r="X29" s="255"/>
      <c r="Y29" s="269" t="s">
        <v>69</v>
      </c>
      <c r="Z29" s="285">
        <f>V29*2000/8760</f>
        <v>4.6275751095890418E-2</v>
      </c>
      <c r="AA29" s="271" t="s">
        <v>70</v>
      </c>
      <c r="AB29" s="255"/>
      <c r="AC29" s="255"/>
      <c r="AE29" s="269" t="s">
        <v>69</v>
      </c>
      <c r="AF29" s="268">
        <f>(AF26*AH26*AJ26)/AL27</f>
        <v>0.21516996569999999</v>
      </c>
      <c r="AG29" s="273" t="s">
        <v>72</v>
      </c>
      <c r="AH29" s="255"/>
      <c r="AI29" s="269" t="s">
        <v>69</v>
      </c>
      <c r="AJ29" s="285">
        <f>AF29*2000/8760</f>
        <v>4.9125562945205481E-2</v>
      </c>
      <c r="AK29" s="271" t="s">
        <v>70</v>
      </c>
      <c r="AL29" s="255"/>
      <c r="AM29" s="255"/>
    </row>
    <row r="30" spans="1:39" x14ac:dyDescent="0.25">
      <c r="A30" s="255"/>
      <c r="B30" s="255"/>
      <c r="C30" s="259" t="s">
        <v>279</v>
      </c>
      <c r="D30" s="255"/>
      <c r="E30" s="255"/>
      <c r="F30" s="255"/>
      <c r="G30" s="255" t="s">
        <v>128</v>
      </c>
      <c r="H30" s="255"/>
      <c r="I30" s="255"/>
      <c r="J30" s="259"/>
      <c r="K30" s="255"/>
      <c r="L30" s="255"/>
      <c r="M30" s="259" t="s">
        <v>279</v>
      </c>
      <c r="N30" s="255"/>
      <c r="O30" s="255"/>
      <c r="P30" s="255"/>
      <c r="Q30" s="255" t="s">
        <v>128</v>
      </c>
      <c r="R30" s="255"/>
      <c r="S30" s="255"/>
      <c r="U30" s="255"/>
      <c r="V30" s="255"/>
      <c r="W30" s="259" t="s">
        <v>279</v>
      </c>
      <c r="X30" s="255"/>
      <c r="Y30" s="255"/>
      <c r="Z30" s="255"/>
      <c r="AA30" s="255" t="s">
        <v>128</v>
      </c>
      <c r="AB30" s="255"/>
      <c r="AC30" s="255"/>
      <c r="AE30" s="255"/>
      <c r="AF30" s="255"/>
      <c r="AG30" s="259" t="s">
        <v>279</v>
      </c>
      <c r="AH30" s="255"/>
      <c r="AI30" s="255"/>
      <c r="AJ30" s="255"/>
      <c r="AK30" s="255" t="s">
        <v>128</v>
      </c>
      <c r="AL30" s="255"/>
      <c r="AM30" s="255"/>
    </row>
    <row r="31" spans="1:39" x14ac:dyDescent="0.25">
      <c r="A31" s="255"/>
      <c r="B31" s="255"/>
      <c r="C31" s="255"/>
      <c r="D31" s="255"/>
      <c r="E31" s="255"/>
      <c r="F31" s="255"/>
      <c r="G31" s="255"/>
      <c r="H31" s="255"/>
      <c r="I31" s="255"/>
      <c r="J31" s="259"/>
      <c r="K31" s="255"/>
      <c r="L31" s="255"/>
      <c r="M31" s="255"/>
      <c r="N31" s="255"/>
      <c r="O31" s="255"/>
      <c r="P31" s="255"/>
      <c r="Q31" s="255"/>
      <c r="R31" s="255"/>
      <c r="S31" s="255"/>
      <c r="U31" s="255"/>
      <c r="V31" s="255"/>
      <c r="W31" s="255"/>
      <c r="X31" s="255"/>
      <c r="Y31" s="255"/>
      <c r="Z31" s="255"/>
      <c r="AA31" s="255"/>
      <c r="AB31" s="255"/>
      <c r="AC31" s="255"/>
      <c r="AE31" s="255"/>
      <c r="AF31" s="255"/>
      <c r="AG31" s="255"/>
      <c r="AH31" s="255"/>
      <c r="AI31" s="255"/>
      <c r="AJ31" s="255"/>
      <c r="AK31" s="255"/>
      <c r="AL31" s="255"/>
      <c r="AM31" s="255"/>
    </row>
    <row r="32" spans="1:39" x14ac:dyDescent="0.25">
      <c r="A32" s="255" t="s">
        <v>75</v>
      </c>
      <c r="B32" s="255"/>
      <c r="C32" s="255"/>
      <c r="D32" s="255"/>
      <c r="E32" s="255"/>
      <c r="F32" s="255"/>
      <c r="G32" s="255"/>
      <c r="H32" s="255"/>
      <c r="I32" s="255"/>
      <c r="J32" s="259"/>
      <c r="K32" s="255" t="s">
        <v>75</v>
      </c>
      <c r="L32" s="255"/>
      <c r="M32" s="255"/>
      <c r="N32" s="255"/>
      <c r="O32" s="255"/>
      <c r="P32" s="255"/>
      <c r="Q32" s="255"/>
      <c r="R32" s="255"/>
      <c r="S32" s="255"/>
      <c r="U32" s="255" t="s">
        <v>75</v>
      </c>
      <c r="V32" s="255"/>
      <c r="W32" s="255"/>
      <c r="X32" s="255"/>
      <c r="Y32" s="255"/>
      <c r="Z32" s="255"/>
      <c r="AA32" s="255"/>
      <c r="AB32" s="255"/>
      <c r="AC32" s="255"/>
      <c r="AE32" s="255" t="s">
        <v>75</v>
      </c>
      <c r="AF32" s="255"/>
      <c r="AG32" s="255"/>
      <c r="AH32" s="255"/>
      <c r="AI32" s="255"/>
      <c r="AJ32" s="255"/>
      <c r="AK32" s="255"/>
      <c r="AL32" s="255"/>
      <c r="AM32" s="255"/>
    </row>
    <row r="33" spans="1:39" x14ac:dyDescent="0.25">
      <c r="A33" s="255"/>
      <c r="B33" s="255"/>
      <c r="C33" s="255"/>
      <c r="D33" s="255"/>
      <c r="E33" s="255"/>
      <c r="F33" s="255"/>
      <c r="G33" s="255"/>
      <c r="H33" s="255"/>
      <c r="I33" s="255"/>
      <c r="J33" s="259"/>
      <c r="K33" s="255"/>
      <c r="L33" s="255"/>
      <c r="M33" s="255"/>
      <c r="N33" s="255"/>
      <c r="O33" s="255"/>
      <c r="P33" s="255"/>
      <c r="Q33" s="255"/>
      <c r="R33" s="255"/>
      <c r="S33" s="255"/>
      <c r="U33" s="255"/>
      <c r="V33" s="255"/>
      <c r="W33" s="255"/>
      <c r="X33" s="255"/>
      <c r="Y33" s="255"/>
      <c r="Z33" s="255"/>
      <c r="AA33" s="255"/>
      <c r="AB33" s="255"/>
      <c r="AC33" s="255"/>
      <c r="AE33" s="255"/>
      <c r="AF33" s="255"/>
      <c r="AG33" s="255"/>
      <c r="AH33" s="255"/>
      <c r="AI33" s="255"/>
      <c r="AJ33" s="255"/>
      <c r="AK33" s="255"/>
      <c r="AL33" s="255"/>
      <c r="AM33" s="255"/>
    </row>
    <row r="34" spans="1:39" x14ac:dyDescent="0.25">
      <c r="A34" s="269" t="s">
        <v>69</v>
      </c>
      <c r="B34" s="492">
        <f>74*20.9/5.9*9190*0.0000001194</f>
        <v>0.28763771654237286</v>
      </c>
      <c r="C34" s="271" t="s">
        <v>70</v>
      </c>
      <c r="D34" s="272">
        <f>B12</f>
        <v>0</v>
      </c>
      <c r="E34" s="271" t="s">
        <v>126</v>
      </c>
      <c r="F34" s="270">
        <v>0.13800000000000001</v>
      </c>
      <c r="G34" s="271" t="s">
        <v>86</v>
      </c>
      <c r="H34" s="270">
        <v>1</v>
      </c>
      <c r="I34" s="271" t="s">
        <v>72</v>
      </c>
      <c r="J34" s="259"/>
      <c r="K34" s="269" t="s">
        <v>69</v>
      </c>
      <c r="L34" s="492">
        <f>74*20.9/5.9*9190*0.0000001194</f>
        <v>0.28763771654237286</v>
      </c>
      <c r="M34" s="271" t="s">
        <v>70</v>
      </c>
      <c r="N34" s="272">
        <f>L12</f>
        <v>1064</v>
      </c>
      <c r="O34" s="271" t="s">
        <v>126</v>
      </c>
      <c r="P34" s="270">
        <v>0.13800000000000001</v>
      </c>
      <c r="Q34" s="271" t="s">
        <v>86</v>
      </c>
      <c r="R34" s="270">
        <v>1</v>
      </c>
      <c r="S34" s="271" t="s">
        <v>72</v>
      </c>
      <c r="U34" s="269" t="s">
        <v>69</v>
      </c>
      <c r="V34" s="492">
        <f>74*20.9/5.9*9190*0.0000001194</f>
        <v>0.28763771654237286</v>
      </c>
      <c r="W34" s="271" t="s">
        <v>70</v>
      </c>
      <c r="X34" s="272">
        <f>V12</f>
        <v>290842</v>
      </c>
      <c r="Y34" s="271" t="s">
        <v>126</v>
      </c>
      <c r="Z34" s="270">
        <v>0.13800000000000001</v>
      </c>
      <c r="AA34" s="271" t="s">
        <v>86</v>
      </c>
      <c r="AB34" s="270">
        <v>1</v>
      </c>
      <c r="AC34" s="271" t="s">
        <v>72</v>
      </c>
      <c r="AE34" s="269" t="s">
        <v>69</v>
      </c>
      <c r="AF34" s="492">
        <f>74*20.9/5.9*9190*0.0000001194</f>
        <v>0.28763771654237286</v>
      </c>
      <c r="AG34" s="271" t="s">
        <v>70</v>
      </c>
      <c r="AH34" s="272">
        <f>AF12</f>
        <v>308753</v>
      </c>
      <c r="AI34" s="271" t="s">
        <v>126</v>
      </c>
      <c r="AJ34" s="270">
        <v>0.13800000000000001</v>
      </c>
      <c r="AK34" s="271" t="s">
        <v>86</v>
      </c>
      <c r="AL34" s="270">
        <v>1</v>
      </c>
      <c r="AM34" s="271" t="s">
        <v>72</v>
      </c>
    </row>
    <row r="35" spans="1:39" x14ac:dyDescent="0.25">
      <c r="A35" s="255"/>
      <c r="B35" s="283"/>
      <c r="C35" s="284" t="s">
        <v>86</v>
      </c>
      <c r="D35" s="283"/>
      <c r="E35" s="284" t="s">
        <v>279</v>
      </c>
      <c r="F35" s="283"/>
      <c r="G35" s="284" t="s">
        <v>71</v>
      </c>
      <c r="H35" s="274">
        <v>2000</v>
      </c>
      <c r="I35" s="255" t="s">
        <v>70</v>
      </c>
      <c r="J35" s="259"/>
      <c r="K35" s="255"/>
      <c r="L35" s="283"/>
      <c r="M35" s="284" t="s">
        <v>86</v>
      </c>
      <c r="N35" s="283"/>
      <c r="O35" s="284" t="s">
        <v>279</v>
      </c>
      <c r="P35" s="283"/>
      <c r="Q35" s="284" t="s">
        <v>71</v>
      </c>
      <c r="R35" s="274">
        <v>2000</v>
      </c>
      <c r="S35" s="255" t="s">
        <v>70</v>
      </c>
      <c r="U35" s="255"/>
      <c r="V35" s="283"/>
      <c r="W35" s="284" t="s">
        <v>86</v>
      </c>
      <c r="X35" s="283"/>
      <c r="Y35" s="284" t="s">
        <v>279</v>
      </c>
      <c r="Z35" s="283"/>
      <c r="AA35" s="284" t="s">
        <v>71</v>
      </c>
      <c r="AB35" s="274">
        <v>2000</v>
      </c>
      <c r="AC35" s="255" t="s">
        <v>70</v>
      </c>
      <c r="AE35" s="255"/>
      <c r="AF35" s="283"/>
      <c r="AG35" s="284" t="s">
        <v>86</v>
      </c>
      <c r="AH35" s="283"/>
      <c r="AI35" s="284" t="s">
        <v>279</v>
      </c>
      <c r="AJ35" s="283"/>
      <c r="AK35" s="284" t="s">
        <v>71</v>
      </c>
      <c r="AL35" s="274">
        <v>2000</v>
      </c>
      <c r="AM35" s="255" t="s">
        <v>70</v>
      </c>
    </row>
    <row r="36" spans="1:39" x14ac:dyDescent="0.25">
      <c r="A36" s="255"/>
      <c r="B36" s="255"/>
      <c r="C36" s="255"/>
      <c r="D36" s="255"/>
      <c r="E36" s="255"/>
      <c r="F36" s="255"/>
      <c r="G36" s="255"/>
      <c r="H36" s="255"/>
      <c r="I36" s="255"/>
      <c r="J36" s="259"/>
      <c r="K36" s="255"/>
      <c r="L36" s="255"/>
      <c r="M36" s="255"/>
      <c r="N36" s="255"/>
      <c r="O36" s="255"/>
      <c r="P36" s="255"/>
      <c r="Q36" s="255"/>
      <c r="R36" s="255"/>
      <c r="S36" s="255"/>
      <c r="U36" s="255"/>
      <c r="V36" s="255"/>
      <c r="W36" s="255"/>
      <c r="X36" s="255"/>
      <c r="Y36" s="255"/>
      <c r="Z36" s="255"/>
      <c r="AA36" s="255"/>
      <c r="AB36" s="255"/>
      <c r="AC36" s="255"/>
      <c r="AE36" s="255"/>
      <c r="AF36" s="255"/>
      <c r="AG36" s="255"/>
      <c r="AH36" s="255"/>
      <c r="AI36" s="255"/>
      <c r="AJ36" s="255"/>
      <c r="AK36" s="255"/>
      <c r="AL36" s="255"/>
      <c r="AM36" s="255"/>
    </row>
    <row r="37" spans="1:39" x14ac:dyDescent="0.25">
      <c r="A37" s="269" t="s">
        <v>69</v>
      </c>
      <c r="B37" s="268">
        <f>(B34*D34*F34)/H35</f>
        <v>0</v>
      </c>
      <c r="C37" s="273" t="s">
        <v>72</v>
      </c>
      <c r="D37" s="255"/>
      <c r="E37" s="269" t="s">
        <v>69</v>
      </c>
      <c r="F37" s="268">
        <f>B37*2000/8760</f>
        <v>0</v>
      </c>
      <c r="G37" s="271" t="s">
        <v>70</v>
      </c>
      <c r="H37" s="255"/>
      <c r="I37" s="255"/>
      <c r="J37" s="259"/>
      <c r="K37" s="269" t="s">
        <v>69</v>
      </c>
      <c r="L37" s="268">
        <f>(L34*N34*P34)/R35</f>
        <v>2.1117210597674848E-2</v>
      </c>
      <c r="M37" s="273" t="s">
        <v>72</v>
      </c>
      <c r="N37" s="255"/>
      <c r="O37" s="269" t="s">
        <v>69</v>
      </c>
      <c r="P37" s="268">
        <f>L37*2000/8760</f>
        <v>4.821280958373253E-3</v>
      </c>
      <c r="Q37" s="271" t="s">
        <v>70</v>
      </c>
      <c r="R37" s="255"/>
      <c r="S37" s="255"/>
      <c r="U37" s="269" t="s">
        <v>69</v>
      </c>
      <c r="V37" s="268">
        <f>(V34*X34*Z34)/AB35</f>
        <v>5.7723418840685596</v>
      </c>
      <c r="W37" s="273" t="s">
        <v>72</v>
      </c>
      <c r="X37" s="255"/>
      <c r="Y37" s="269" t="s">
        <v>69</v>
      </c>
      <c r="Z37" s="268">
        <f>V37*2000/8760</f>
        <v>1.3178862749014977</v>
      </c>
      <c r="AA37" s="271" t="s">
        <v>70</v>
      </c>
      <c r="AB37" s="255"/>
      <c r="AC37" s="255"/>
      <c r="AE37" s="269" t="s">
        <v>69</v>
      </c>
      <c r="AF37" s="268">
        <f>(AF34*AH34*AJ34)/AL35</f>
        <v>6.1278215447969</v>
      </c>
      <c r="AG37" s="273" t="s">
        <v>72</v>
      </c>
      <c r="AH37" s="255"/>
      <c r="AI37" s="269" t="s">
        <v>69</v>
      </c>
      <c r="AJ37" s="268">
        <f>AF37*2000/8760</f>
        <v>1.3990460147938126</v>
      </c>
      <c r="AK37" s="271" t="s">
        <v>70</v>
      </c>
      <c r="AL37" s="255"/>
      <c r="AM37" s="255"/>
    </row>
    <row r="38" spans="1:39" x14ac:dyDescent="0.25">
      <c r="A38" s="255"/>
      <c r="B38" s="255"/>
      <c r="C38" s="259" t="s">
        <v>279</v>
      </c>
      <c r="D38" s="255"/>
      <c r="E38" s="255"/>
      <c r="F38" s="255"/>
      <c r="G38" s="255" t="s">
        <v>128</v>
      </c>
      <c r="H38" s="255"/>
      <c r="I38" s="255"/>
      <c r="J38" s="259"/>
      <c r="K38" s="255"/>
      <c r="L38" s="255"/>
      <c r="M38" s="259" t="s">
        <v>279</v>
      </c>
      <c r="N38" s="255"/>
      <c r="O38" s="255"/>
      <c r="P38" s="255"/>
      <c r="Q38" s="255" t="s">
        <v>128</v>
      </c>
      <c r="R38" s="255"/>
      <c r="S38" s="255"/>
      <c r="U38" s="255"/>
      <c r="V38" s="255"/>
      <c r="W38" s="259" t="s">
        <v>279</v>
      </c>
      <c r="X38" s="255"/>
      <c r="Y38" s="255"/>
      <c r="Z38" s="255"/>
      <c r="AA38" s="255" t="s">
        <v>128</v>
      </c>
      <c r="AB38" s="255"/>
      <c r="AC38" s="255"/>
      <c r="AE38" s="255"/>
      <c r="AF38" s="255"/>
      <c r="AG38" s="259" t="s">
        <v>279</v>
      </c>
      <c r="AH38" s="255"/>
      <c r="AI38" s="255"/>
      <c r="AJ38" s="255"/>
      <c r="AK38" s="255" t="s">
        <v>128</v>
      </c>
      <c r="AL38" s="255"/>
      <c r="AM38" s="255"/>
    </row>
    <row r="39" spans="1:39" x14ac:dyDescent="0.25">
      <c r="A39" s="255"/>
      <c r="B39" s="255"/>
      <c r="C39" s="255"/>
      <c r="D39" s="255"/>
      <c r="E39" s="255"/>
      <c r="F39" s="255"/>
      <c r="G39" s="255"/>
      <c r="H39" s="255"/>
      <c r="I39" s="255"/>
      <c r="J39" s="259"/>
      <c r="K39" s="255"/>
      <c r="L39" s="255"/>
      <c r="M39" s="255"/>
      <c r="N39" s="255"/>
      <c r="O39" s="255"/>
      <c r="P39" s="255"/>
      <c r="Q39" s="255"/>
      <c r="R39" s="255"/>
      <c r="S39" s="255"/>
      <c r="U39" s="255"/>
      <c r="V39" s="255"/>
      <c r="W39" s="255"/>
      <c r="X39" s="255"/>
      <c r="Y39" s="255"/>
      <c r="Z39" s="255"/>
      <c r="AA39" s="255"/>
      <c r="AB39" s="255"/>
      <c r="AC39" s="255"/>
      <c r="AE39" s="255"/>
      <c r="AF39" s="255"/>
      <c r="AG39" s="255"/>
      <c r="AH39" s="255"/>
      <c r="AI39" s="255"/>
      <c r="AJ39" s="255"/>
      <c r="AK39" s="255"/>
      <c r="AL39" s="255"/>
      <c r="AM39" s="255"/>
    </row>
    <row r="40" spans="1:39" x14ac:dyDescent="0.25">
      <c r="A40" s="255" t="s">
        <v>76</v>
      </c>
      <c r="B40" s="255"/>
      <c r="C40" s="255"/>
      <c r="D40" s="255"/>
      <c r="E40" s="255"/>
      <c r="F40" s="255"/>
      <c r="G40" s="255"/>
      <c r="H40" s="255"/>
      <c r="I40" s="255"/>
      <c r="J40" s="259"/>
      <c r="K40" s="255" t="s">
        <v>76</v>
      </c>
      <c r="L40" s="255"/>
      <c r="M40" s="255"/>
      <c r="N40" s="255"/>
      <c r="O40" s="255"/>
      <c r="P40" s="255"/>
      <c r="Q40" s="255"/>
      <c r="R40" s="255"/>
      <c r="S40" s="255"/>
      <c r="U40" s="255" t="s">
        <v>76</v>
      </c>
      <c r="V40" s="255"/>
      <c r="W40" s="255"/>
      <c r="X40" s="255"/>
      <c r="Y40" s="255"/>
      <c r="Z40" s="255"/>
      <c r="AA40" s="255"/>
      <c r="AB40" s="255"/>
      <c r="AC40" s="255"/>
      <c r="AE40" s="255" t="s">
        <v>76</v>
      </c>
      <c r="AF40" s="255"/>
      <c r="AG40" s="255"/>
      <c r="AH40" s="255"/>
      <c r="AI40" s="255"/>
      <c r="AJ40" s="255"/>
      <c r="AK40" s="255"/>
      <c r="AL40" s="255"/>
      <c r="AM40" s="255"/>
    </row>
    <row r="41" spans="1:39" x14ac:dyDescent="0.25">
      <c r="A41" s="255"/>
      <c r="B41" s="255"/>
      <c r="C41" s="255"/>
      <c r="D41" s="255"/>
      <c r="E41" s="255"/>
      <c r="F41" s="255"/>
      <c r="G41" s="255"/>
      <c r="H41" s="255"/>
      <c r="I41" s="255"/>
      <c r="J41" s="259"/>
      <c r="K41" s="255"/>
      <c r="L41" s="255"/>
      <c r="M41" s="255"/>
      <c r="N41" s="255"/>
      <c r="O41" s="255"/>
      <c r="P41" s="255"/>
      <c r="Q41" s="255"/>
      <c r="R41" s="255"/>
      <c r="S41" s="255"/>
      <c r="U41" s="255"/>
      <c r="V41" s="255"/>
      <c r="W41" s="255"/>
      <c r="X41" s="255"/>
      <c r="Y41" s="255"/>
      <c r="Z41" s="255"/>
      <c r="AA41" s="255"/>
      <c r="AB41" s="255"/>
      <c r="AC41" s="255"/>
      <c r="AE41" s="255"/>
      <c r="AF41" s="255"/>
      <c r="AG41" s="255"/>
      <c r="AH41" s="255"/>
      <c r="AI41" s="255"/>
      <c r="AJ41" s="255"/>
      <c r="AK41" s="255"/>
      <c r="AL41" s="255"/>
      <c r="AM41" s="255"/>
    </row>
    <row r="42" spans="1:39" x14ac:dyDescent="0.25">
      <c r="A42" s="269" t="s">
        <v>69</v>
      </c>
      <c r="B42" s="270">
        <v>4.0999999999999999E-4</v>
      </c>
      <c r="C42" s="271" t="s">
        <v>70</v>
      </c>
      <c r="D42" s="272">
        <f>B12</f>
        <v>0</v>
      </c>
      <c r="E42" s="271" t="s">
        <v>126</v>
      </c>
      <c r="F42" s="270">
        <v>0.13800000000000001</v>
      </c>
      <c r="G42" s="271" t="s">
        <v>86</v>
      </c>
      <c r="H42" s="270">
        <v>1</v>
      </c>
      <c r="I42" s="271" t="s">
        <v>72</v>
      </c>
      <c r="J42" s="259"/>
      <c r="K42" s="269" t="s">
        <v>69</v>
      </c>
      <c r="L42" s="270">
        <v>4.0999999999999999E-4</v>
      </c>
      <c r="M42" s="271" t="s">
        <v>70</v>
      </c>
      <c r="N42" s="272">
        <f>L12</f>
        <v>1064</v>
      </c>
      <c r="O42" s="271" t="s">
        <v>126</v>
      </c>
      <c r="P42" s="270">
        <v>0.13800000000000001</v>
      </c>
      <c r="Q42" s="271" t="s">
        <v>86</v>
      </c>
      <c r="R42" s="270">
        <v>1</v>
      </c>
      <c r="S42" s="271" t="s">
        <v>72</v>
      </c>
      <c r="U42" s="269" t="s">
        <v>69</v>
      </c>
      <c r="V42" s="270">
        <v>4.0999999999999999E-4</v>
      </c>
      <c r="W42" s="271" t="s">
        <v>70</v>
      </c>
      <c r="X42" s="272">
        <f>V12</f>
        <v>290842</v>
      </c>
      <c r="Y42" s="271" t="s">
        <v>126</v>
      </c>
      <c r="Z42" s="270">
        <v>0.13800000000000001</v>
      </c>
      <c r="AA42" s="271" t="s">
        <v>86</v>
      </c>
      <c r="AB42" s="270">
        <v>1</v>
      </c>
      <c r="AC42" s="271" t="s">
        <v>72</v>
      </c>
      <c r="AE42" s="269" t="s">
        <v>69</v>
      </c>
      <c r="AF42" s="270">
        <v>4.0999999999999999E-4</v>
      </c>
      <c r="AG42" s="271" t="s">
        <v>70</v>
      </c>
      <c r="AH42" s="272">
        <f>AF12</f>
        <v>308753</v>
      </c>
      <c r="AI42" s="271" t="s">
        <v>126</v>
      </c>
      <c r="AJ42" s="270">
        <v>0.13800000000000001</v>
      </c>
      <c r="AK42" s="271" t="s">
        <v>86</v>
      </c>
      <c r="AL42" s="270">
        <v>1</v>
      </c>
      <c r="AM42" s="271" t="s">
        <v>72</v>
      </c>
    </row>
    <row r="43" spans="1:39" x14ac:dyDescent="0.25">
      <c r="A43" s="255"/>
      <c r="B43" s="283"/>
      <c r="C43" s="284" t="s">
        <v>86</v>
      </c>
      <c r="D43" s="283"/>
      <c r="E43" s="284" t="s">
        <v>279</v>
      </c>
      <c r="F43" s="283"/>
      <c r="G43" s="284" t="s">
        <v>71</v>
      </c>
      <c r="H43" s="274">
        <v>2000</v>
      </c>
      <c r="I43" s="255" t="s">
        <v>70</v>
      </c>
      <c r="J43" s="259"/>
      <c r="K43" s="255"/>
      <c r="L43" s="283"/>
      <c r="M43" s="284" t="s">
        <v>86</v>
      </c>
      <c r="N43" s="283"/>
      <c r="O43" s="284" t="s">
        <v>279</v>
      </c>
      <c r="P43" s="283"/>
      <c r="Q43" s="284" t="s">
        <v>71</v>
      </c>
      <c r="R43" s="274">
        <v>2000</v>
      </c>
      <c r="S43" s="255" t="s">
        <v>70</v>
      </c>
      <c r="U43" s="255"/>
      <c r="V43" s="283"/>
      <c r="W43" s="284" t="s">
        <v>86</v>
      </c>
      <c r="X43" s="283"/>
      <c r="Y43" s="284" t="s">
        <v>279</v>
      </c>
      <c r="Z43" s="283"/>
      <c r="AA43" s="284" t="s">
        <v>71</v>
      </c>
      <c r="AB43" s="274">
        <v>2000</v>
      </c>
      <c r="AC43" s="255" t="s">
        <v>70</v>
      </c>
      <c r="AE43" s="255"/>
      <c r="AF43" s="283"/>
      <c r="AG43" s="284" t="s">
        <v>86</v>
      </c>
      <c r="AH43" s="283"/>
      <c r="AI43" s="284" t="s">
        <v>279</v>
      </c>
      <c r="AJ43" s="283"/>
      <c r="AK43" s="284" t="s">
        <v>71</v>
      </c>
      <c r="AL43" s="274">
        <v>2000</v>
      </c>
      <c r="AM43" s="255" t="s">
        <v>70</v>
      </c>
    </row>
    <row r="44" spans="1:39" x14ac:dyDescent="0.25">
      <c r="A44" s="255"/>
      <c r="B44" s="255"/>
      <c r="C44" s="255"/>
      <c r="D44" s="255"/>
      <c r="E44" s="255"/>
      <c r="F44" s="255"/>
      <c r="G44" s="255"/>
      <c r="H44" s="255"/>
      <c r="I44" s="255"/>
      <c r="J44" s="259"/>
      <c r="K44" s="255"/>
      <c r="L44" s="255"/>
      <c r="M44" s="255"/>
      <c r="N44" s="255"/>
      <c r="O44" s="255"/>
      <c r="P44" s="255"/>
      <c r="Q44" s="255"/>
      <c r="R44" s="255"/>
      <c r="S44" s="255"/>
      <c r="U44" s="255"/>
      <c r="V44" s="255"/>
      <c r="W44" s="255"/>
      <c r="X44" s="255"/>
      <c r="Y44" s="255"/>
      <c r="Z44" s="255"/>
      <c r="AA44" s="255"/>
      <c r="AB44" s="255"/>
      <c r="AC44" s="255"/>
      <c r="AE44" s="255"/>
      <c r="AF44" s="255"/>
      <c r="AG44" s="255"/>
      <c r="AH44" s="255"/>
      <c r="AI44" s="255"/>
      <c r="AJ44" s="255"/>
      <c r="AK44" s="255"/>
      <c r="AL44" s="255"/>
      <c r="AM44" s="255"/>
    </row>
    <row r="45" spans="1:39" x14ac:dyDescent="0.25">
      <c r="A45" s="269" t="s">
        <v>69</v>
      </c>
      <c r="B45" s="268">
        <f>(B42*D42*F42)/H43</f>
        <v>0</v>
      </c>
      <c r="C45" s="273" t="s">
        <v>72</v>
      </c>
      <c r="D45" s="255"/>
      <c r="E45" s="269" t="s">
        <v>69</v>
      </c>
      <c r="F45" s="285">
        <f>B45*2000/8760</f>
        <v>0</v>
      </c>
      <c r="G45" s="271" t="s">
        <v>70</v>
      </c>
      <c r="H45" s="255"/>
      <c r="I45" s="255"/>
      <c r="J45" s="259"/>
      <c r="K45" s="269" t="s">
        <v>69</v>
      </c>
      <c r="L45" s="268">
        <f>(L42*N42*P42)/R43</f>
        <v>3.0100560000000005E-5</v>
      </c>
      <c r="M45" s="273" t="s">
        <v>72</v>
      </c>
      <c r="N45" s="255"/>
      <c r="O45" s="269" t="s">
        <v>69</v>
      </c>
      <c r="P45" s="285">
        <f>L45*2000/8760</f>
        <v>6.8722739726027413E-6</v>
      </c>
      <c r="Q45" s="271" t="s">
        <v>70</v>
      </c>
      <c r="R45" s="255"/>
      <c r="S45" s="255"/>
      <c r="U45" s="269" t="s">
        <v>69</v>
      </c>
      <c r="V45" s="268">
        <f>(V42*X42*Z42)/AB43</f>
        <v>8.2279201800000024E-3</v>
      </c>
      <c r="W45" s="273" t="s">
        <v>72</v>
      </c>
      <c r="X45" s="255"/>
      <c r="Y45" s="269" t="s">
        <v>69</v>
      </c>
      <c r="Z45" s="285">
        <f>V45*2000/8760</f>
        <v>1.8785205890410963E-3</v>
      </c>
      <c r="AA45" s="271" t="s">
        <v>70</v>
      </c>
      <c r="AB45" s="255"/>
      <c r="AC45" s="255"/>
      <c r="AE45" s="269" t="s">
        <v>69</v>
      </c>
      <c r="AF45" s="268">
        <f>(AF42*AH42*AJ42)/AL43</f>
        <v>8.7346223700000003E-3</v>
      </c>
      <c r="AG45" s="273" t="s">
        <v>72</v>
      </c>
      <c r="AH45" s="255"/>
      <c r="AI45" s="269" t="s">
        <v>69</v>
      </c>
      <c r="AJ45" s="285">
        <f>AF45*2000/8760</f>
        <v>1.9942060205479454E-3</v>
      </c>
      <c r="AK45" s="271" t="s">
        <v>70</v>
      </c>
      <c r="AL45" s="255"/>
      <c r="AM45" s="255"/>
    </row>
    <row r="46" spans="1:39" x14ac:dyDescent="0.25">
      <c r="A46" s="255"/>
      <c r="B46" s="255"/>
      <c r="C46" s="259" t="s">
        <v>279</v>
      </c>
      <c r="D46" s="255"/>
      <c r="E46" s="255"/>
      <c r="F46" s="255"/>
      <c r="G46" s="255" t="s">
        <v>128</v>
      </c>
      <c r="H46" s="255"/>
      <c r="I46" s="255"/>
      <c r="J46" s="259"/>
      <c r="K46" s="255"/>
      <c r="L46" s="255"/>
      <c r="M46" s="259" t="s">
        <v>279</v>
      </c>
      <c r="N46" s="255"/>
      <c r="O46" s="255"/>
      <c r="P46" s="255"/>
      <c r="Q46" s="255" t="s">
        <v>128</v>
      </c>
      <c r="R46" s="255"/>
      <c r="S46" s="255"/>
      <c r="U46" s="255"/>
      <c r="V46" s="255"/>
      <c r="W46" s="259" t="s">
        <v>279</v>
      </c>
      <c r="X46" s="255"/>
      <c r="Y46" s="255"/>
      <c r="Z46" s="255"/>
      <c r="AA46" s="255" t="s">
        <v>128</v>
      </c>
      <c r="AB46" s="255"/>
      <c r="AC46" s="255"/>
      <c r="AE46" s="255"/>
      <c r="AF46" s="255"/>
      <c r="AG46" s="259" t="s">
        <v>279</v>
      </c>
      <c r="AH46" s="255"/>
      <c r="AI46" s="255"/>
      <c r="AJ46" s="255"/>
      <c r="AK46" s="255" t="s">
        <v>128</v>
      </c>
      <c r="AL46" s="255"/>
      <c r="AM46" s="255"/>
    </row>
    <row r="47" spans="1:39" x14ac:dyDescent="0.25">
      <c r="A47" s="255"/>
      <c r="B47" s="255"/>
      <c r="C47" s="259"/>
      <c r="D47" s="255"/>
      <c r="E47" s="255"/>
      <c r="F47" s="255"/>
      <c r="G47" s="255"/>
      <c r="H47" s="255"/>
      <c r="I47" s="255"/>
      <c r="J47" s="259"/>
      <c r="K47" s="255"/>
      <c r="L47" s="255"/>
      <c r="M47" s="259"/>
      <c r="N47" s="255"/>
      <c r="O47" s="255"/>
      <c r="P47" s="255"/>
      <c r="Q47" s="255"/>
      <c r="R47" s="255"/>
      <c r="S47" s="255"/>
      <c r="U47" s="255"/>
      <c r="V47" s="255"/>
      <c r="W47" s="259"/>
      <c r="X47" s="255"/>
      <c r="Y47" s="255"/>
      <c r="Z47" s="255"/>
      <c r="AA47" s="255"/>
      <c r="AB47" s="255"/>
      <c r="AC47" s="255"/>
      <c r="AE47" s="255"/>
      <c r="AF47" s="255"/>
      <c r="AG47" s="259"/>
      <c r="AH47" s="255"/>
      <c r="AI47" s="255"/>
      <c r="AJ47" s="255"/>
      <c r="AK47" s="255"/>
      <c r="AL47" s="255"/>
      <c r="AM47" s="255"/>
    </row>
    <row r="48" spans="1:39" x14ac:dyDescent="0.25">
      <c r="A48" s="255"/>
      <c r="B48" s="255"/>
      <c r="C48" s="259"/>
      <c r="D48" s="255"/>
      <c r="E48" s="255"/>
      <c r="F48" s="255"/>
      <c r="G48" s="255"/>
      <c r="H48" s="255"/>
      <c r="I48" s="255"/>
      <c r="J48" s="259"/>
      <c r="K48" s="255"/>
      <c r="L48" s="255"/>
      <c r="M48" s="259"/>
      <c r="N48" s="255"/>
      <c r="O48" s="255"/>
      <c r="P48" s="255"/>
      <c r="Q48" s="255"/>
      <c r="R48" s="255"/>
      <c r="S48" s="255"/>
      <c r="U48" s="255"/>
      <c r="V48" s="255"/>
      <c r="W48" s="259"/>
      <c r="X48" s="255"/>
      <c r="Y48" s="255"/>
      <c r="Z48" s="255"/>
      <c r="AA48" s="255"/>
      <c r="AB48" s="255"/>
      <c r="AC48" s="255"/>
      <c r="AE48" s="255"/>
      <c r="AF48" s="255"/>
      <c r="AG48" s="259"/>
      <c r="AH48" s="255"/>
      <c r="AI48" s="255"/>
      <c r="AJ48" s="255"/>
      <c r="AK48" s="255"/>
      <c r="AL48" s="255"/>
      <c r="AM48" s="255"/>
    </row>
    <row r="49" spans="1:39" x14ac:dyDescent="0.25">
      <c r="A49" s="255"/>
      <c r="B49" s="255"/>
      <c r="C49" s="259"/>
      <c r="D49" s="255"/>
      <c r="E49" s="255"/>
      <c r="F49" s="255"/>
      <c r="G49" s="255"/>
      <c r="H49" s="255"/>
      <c r="I49" s="255"/>
      <c r="J49" s="259"/>
      <c r="K49" s="255"/>
      <c r="L49" s="255"/>
      <c r="M49" s="259"/>
      <c r="N49" s="255"/>
      <c r="O49" s="255"/>
      <c r="P49" s="255"/>
      <c r="Q49" s="255"/>
      <c r="R49" s="255"/>
      <c r="S49" s="255"/>
      <c r="U49" s="255"/>
      <c r="V49" s="255"/>
      <c r="W49" s="259"/>
      <c r="X49" s="255"/>
      <c r="Y49" s="255"/>
      <c r="Z49" s="255"/>
      <c r="AA49" s="255"/>
      <c r="AB49" s="255"/>
      <c r="AC49" s="255"/>
      <c r="AE49" s="255"/>
      <c r="AF49" s="255"/>
      <c r="AG49" s="259"/>
      <c r="AH49" s="255"/>
      <c r="AI49" s="255"/>
      <c r="AJ49" s="255"/>
      <c r="AK49" s="255"/>
      <c r="AL49" s="255"/>
      <c r="AM49" s="255"/>
    </row>
    <row r="50" spans="1:39" x14ac:dyDescent="0.25">
      <c r="A50" s="255"/>
      <c r="B50" s="255"/>
      <c r="C50" s="259"/>
      <c r="D50" s="255"/>
      <c r="E50" s="255"/>
      <c r="F50" s="255"/>
      <c r="G50" s="255"/>
      <c r="H50" s="255"/>
      <c r="I50" s="255"/>
      <c r="J50" s="259"/>
      <c r="K50" s="255"/>
      <c r="L50" s="255"/>
      <c r="M50" s="259"/>
      <c r="N50" s="255"/>
      <c r="O50" s="255"/>
      <c r="P50" s="255"/>
      <c r="Q50" s="255"/>
      <c r="R50" s="255"/>
      <c r="S50" s="255"/>
      <c r="U50" s="255"/>
      <c r="V50" s="255"/>
      <c r="W50" s="259"/>
      <c r="X50" s="255"/>
      <c r="Y50" s="255"/>
      <c r="Z50" s="255"/>
      <c r="AA50" s="255"/>
      <c r="AB50" s="255"/>
      <c r="AC50" s="255"/>
      <c r="AE50" s="255"/>
      <c r="AF50" s="255"/>
      <c r="AG50" s="259"/>
      <c r="AH50" s="255"/>
      <c r="AI50" s="255"/>
      <c r="AJ50" s="255"/>
      <c r="AK50" s="255"/>
      <c r="AL50" s="255"/>
      <c r="AM50" s="255"/>
    </row>
    <row r="51" spans="1:39" x14ac:dyDescent="0.25">
      <c r="A51" s="875" t="s">
        <v>423</v>
      </c>
      <c r="B51" s="875"/>
      <c r="C51" s="875"/>
      <c r="D51" s="875"/>
      <c r="E51" s="875"/>
      <c r="F51" s="875"/>
      <c r="G51" s="875"/>
      <c r="H51" s="875"/>
      <c r="I51" s="875"/>
      <c r="J51" s="281"/>
      <c r="K51" s="875" t="s">
        <v>424</v>
      </c>
      <c r="L51" s="875"/>
      <c r="M51" s="875"/>
      <c r="N51" s="875"/>
      <c r="O51" s="875"/>
      <c r="P51" s="875"/>
      <c r="Q51" s="875"/>
      <c r="R51" s="875"/>
      <c r="S51" s="875"/>
      <c r="U51" s="875" t="s">
        <v>422</v>
      </c>
      <c r="V51" s="875"/>
      <c r="W51" s="875"/>
      <c r="X51" s="875"/>
      <c r="Y51" s="875"/>
      <c r="Z51" s="875"/>
      <c r="AA51" s="875"/>
      <c r="AB51" s="875"/>
      <c r="AC51" s="875"/>
      <c r="AE51" s="875" t="s">
        <v>425</v>
      </c>
      <c r="AF51" s="875"/>
      <c r="AG51" s="875"/>
      <c r="AH51" s="875"/>
      <c r="AI51" s="875"/>
      <c r="AJ51" s="875"/>
      <c r="AK51" s="875"/>
      <c r="AL51" s="875"/>
      <c r="AM51" s="875"/>
    </row>
    <row r="52" spans="1:39" x14ac:dyDescent="0.25">
      <c r="A52" s="255"/>
      <c r="B52" s="255"/>
      <c r="C52" s="255"/>
      <c r="D52" s="255"/>
      <c r="E52" s="255"/>
      <c r="F52" s="255"/>
      <c r="G52" s="255"/>
      <c r="H52" s="255"/>
      <c r="I52" s="255"/>
      <c r="J52" s="259"/>
      <c r="K52" s="255"/>
      <c r="L52" s="255"/>
      <c r="M52" s="255"/>
      <c r="N52" s="255"/>
      <c r="O52" s="255"/>
      <c r="P52" s="255"/>
      <c r="Q52" s="255"/>
      <c r="R52" s="255"/>
      <c r="S52" s="255"/>
      <c r="U52" s="255"/>
      <c r="V52" s="255"/>
      <c r="W52" s="255"/>
      <c r="X52" s="255"/>
      <c r="Y52" s="255"/>
      <c r="Z52" s="255"/>
      <c r="AA52" s="255"/>
      <c r="AB52" s="255"/>
      <c r="AC52" s="255"/>
      <c r="AE52" s="255"/>
      <c r="AF52" s="255"/>
      <c r="AG52" s="255"/>
      <c r="AH52" s="255"/>
      <c r="AI52" s="255"/>
      <c r="AJ52" s="255"/>
      <c r="AK52" s="255"/>
      <c r="AL52" s="255"/>
      <c r="AM52" s="255"/>
    </row>
    <row r="53" spans="1:39" x14ac:dyDescent="0.25">
      <c r="A53" s="255" t="s">
        <v>77</v>
      </c>
      <c r="B53" s="255"/>
      <c r="C53" s="255"/>
      <c r="D53" s="255"/>
      <c r="E53" s="255"/>
      <c r="F53" s="255"/>
      <c r="G53" s="255"/>
      <c r="H53" s="255"/>
      <c r="I53" s="255"/>
      <c r="J53" s="259"/>
      <c r="K53" s="255" t="s">
        <v>77</v>
      </c>
      <c r="L53" s="255"/>
      <c r="M53" s="255"/>
      <c r="N53" s="255"/>
      <c r="O53" s="255"/>
      <c r="P53" s="255"/>
      <c r="Q53" s="255"/>
      <c r="R53" s="255"/>
      <c r="S53" s="255"/>
      <c r="U53" s="255" t="s">
        <v>77</v>
      </c>
      <c r="V53" s="255"/>
      <c r="W53" s="255"/>
      <c r="X53" s="255"/>
      <c r="Y53" s="255"/>
      <c r="Z53" s="255"/>
      <c r="AA53" s="255"/>
      <c r="AB53" s="255"/>
      <c r="AC53" s="255"/>
      <c r="AE53" s="255" t="s">
        <v>77</v>
      </c>
      <c r="AF53" s="255"/>
      <c r="AG53" s="255"/>
      <c r="AH53" s="255"/>
      <c r="AI53" s="255"/>
      <c r="AJ53" s="255"/>
      <c r="AK53" s="255"/>
      <c r="AL53" s="255"/>
      <c r="AM53" s="255"/>
    </row>
    <row r="54" spans="1:39" x14ac:dyDescent="0.25">
      <c r="A54" s="255"/>
      <c r="B54" s="255"/>
      <c r="C54" s="255"/>
      <c r="D54" s="255"/>
      <c r="E54" s="255"/>
      <c r="F54" s="255"/>
      <c r="G54" s="255"/>
      <c r="H54" s="255"/>
      <c r="I54" s="255"/>
      <c r="J54" s="259"/>
      <c r="K54" s="255"/>
      <c r="L54" s="255"/>
      <c r="M54" s="255"/>
      <c r="N54" s="255"/>
      <c r="O54" s="255"/>
      <c r="P54" s="255"/>
      <c r="Q54" s="255"/>
      <c r="R54" s="255"/>
      <c r="S54" s="255"/>
      <c r="U54" s="255"/>
      <c r="V54" s="255"/>
      <c r="W54" s="255"/>
      <c r="X54" s="255"/>
      <c r="Y54" s="255"/>
      <c r="Z54" s="255"/>
      <c r="AA54" s="255"/>
      <c r="AB54" s="255"/>
      <c r="AC54" s="255"/>
      <c r="AE54" s="255"/>
      <c r="AF54" s="255"/>
      <c r="AG54" s="255"/>
      <c r="AH54" s="255"/>
      <c r="AI54" s="255"/>
      <c r="AJ54" s="255"/>
      <c r="AK54" s="255"/>
      <c r="AL54" s="255"/>
      <c r="AM54" s="255"/>
    </row>
    <row r="55" spans="1:39" x14ac:dyDescent="0.25">
      <c r="A55" s="269" t="s">
        <v>69</v>
      </c>
      <c r="B55" s="270">
        <v>3.3E-3</v>
      </c>
      <c r="C55" s="271" t="s">
        <v>70</v>
      </c>
      <c r="D55" s="272">
        <f>B12</f>
        <v>0</v>
      </c>
      <c r="E55" s="271" t="s">
        <v>126</v>
      </c>
      <c r="F55" s="270">
        <v>0.13800000000000001</v>
      </c>
      <c r="G55" s="271" t="s">
        <v>86</v>
      </c>
      <c r="H55" s="270">
        <v>1</v>
      </c>
      <c r="I55" s="271" t="s">
        <v>72</v>
      </c>
      <c r="J55" s="259"/>
      <c r="K55" s="269" t="s">
        <v>69</v>
      </c>
      <c r="L55" s="270">
        <v>3.3E-3</v>
      </c>
      <c r="M55" s="271" t="s">
        <v>70</v>
      </c>
      <c r="N55" s="272">
        <f>L12</f>
        <v>1064</v>
      </c>
      <c r="O55" s="271" t="s">
        <v>126</v>
      </c>
      <c r="P55" s="270">
        <v>0.13800000000000001</v>
      </c>
      <c r="Q55" s="271" t="s">
        <v>86</v>
      </c>
      <c r="R55" s="270">
        <v>1</v>
      </c>
      <c r="S55" s="271" t="s">
        <v>72</v>
      </c>
      <c r="U55" s="269" t="s">
        <v>69</v>
      </c>
      <c r="V55" s="270">
        <v>3.3E-3</v>
      </c>
      <c r="W55" s="271" t="s">
        <v>70</v>
      </c>
      <c r="X55" s="272">
        <f>V12</f>
        <v>290842</v>
      </c>
      <c r="Y55" s="271" t="s">
        <v>126</v>
      </c>
      <c r="Z55" s="270">
        <v>0.13800000000000001</v>
      </c>
      <c r="AA55" s="271" t="s">
        <v>86</v>
      </c>
      <c r="AB55" s="270">
        <v>1</v>
      </c>
      <c r="AC55" s="271" t="s">
        <v>72</v>
      </c>
      <c r="AE55" s="269" t="s">
        <v>69</v>
      </c>
      <c r="AF55" s="270">
        <v>3.3E-3</v>
      </c>
      <c r="AG55" s="271" t="s">
        <v>70</v>
      </c>
      <c r="AH55" s="272">
        <f>AF12</f>
        <v>308753</v>
      </c>
      <c r="AI55" s="271" t="s">
        <v>126</v>
      </c>
      <c r="AJ55" s="270">
        <v>0.13800000000000001</v>
      </c>
      <c r="AK55" s="271" t="s">
        <v>86</v>
      </c>
      <c r="AL55" s="270">
        <v>1</v>
      </c>
      <c r="AM55" s="271" t="s">
        <v>72</v>
      </c>
    </row>
    <row r="56" spans="1:39" x14ac:dyDescent="0.25">
      <c r="A56" s="255"/>
      <c r="B56" s="283"/>
      <c r="C56" s="284" t="s">
        <v>86</v>
      </c>
      <c r="D56" s="283"/>
      <c r="E56" s="284" t="s">
        <v>279</v>
      </c>
      <c r="F56" s="283"/>
      <c r="G56" s="284" t="s">
        <v>71</v>
      </c>
      <c r="H56" s="274">
        <v>2000</v>
      </c>
      <c r="I56" s="255" t="s">
        <v>70</v>
      </c>
      <c r="J56" s="259"/>
      <c r="K56" s="255"/>
      <c r="L56" s="283"/>
      <c r="M56" s="284" t="s">
        <v>86</v>
      </c>
      <c r="N56" s="283"/>
      <c r="O56" s="284" t="s">
        <v>279</v>
      </c>
      <c r="P56" s="283"/>
      <c r="Q56" s="284" t="s">
        <v>71</v>
      </c>
      <c r="R56" s="274">
        <v>2000</v>
      </c>
      <c r="S56" s="255" t="s">
        <v>70</v>
      </c>
      <c r="U56" s="255"/>
      <c r="V56" s="283"/>
      <c r="W56" s="284" t="s">
        <v>86</v>
      </c>
      <c r="X56" s="283"/>
      <c r="Y56" s="284" t="s">
        <v>279</v>
      </c>
      <c r="Z56" s="283"/>
      <c r="AA56" s="284" t="s">
        <v>71</v>
      </c>
      <c r="AB56" s="274">
        <v>2000</v>
      </c>
      <c r="AC56" s="255" t="s">
        <v>70</v>
      </c>
      <c r="AE56" s="255"/>
      <c r="AF56" s="283"/>
      <c r="AG56" s="284" t="s">
        <v>86</v>
      </c>
      <c r="AH56" s="283"/>
      <c r="AI56" s="284" t="s">
        <v>279</v>
      </c>
      <c r="AJ56" s="283"/>
      <c r="AK56" s="284" t="s">
        <v>71</v>
      </c>
      <c r="AL56" s="274">
        <v>2000</v>
      </c>
      <c r="AM56" s="255" t="s">
        <v>70</v>
      </c>
    </row>
    <row r="57" spans="1:39" x14ac:dyDescent="0.25">
      <c r="A57" s="255"/>
      <c r="B57" s="255"/>
      <c r="C57" s="255"/>
      <c r="D57" s="255"/>
      <c r="E57" s="255"/>
      <c r="F57" s="255"/>
      <c r="G57" s="255"/>
      <c r="H57" s="255"/>
      <c r="I57" s="255"/>
      <c r="J57" s="259"/>
      <c r="K57" s="255"/>
      <c r="L57" s="255"/>
      <c r="M57" s="255"/>
      <c r="N57" s="255"/>
      <c r="O57" s="255"/>
      <c r="P57" s="255"/>
      <c r="Q57" s="255"/>
      <c r="R57" s="255"/>
      <c r="S57" s="255"/>
      <c r="U57" s="255"/>
      <c r="V57" s="255"/>
      <c r="W57" s="255"/>
      <c r="X57" s="255"/>
      <c r="Y57" s="255"/>
      <c r="Z57" s="255"/>
      <c r="AA57" s="255"/>
      <c r="AB57" s="255"/>
      <c r="AC57" s="255"/>
      <c r="AE57" s="255"/>
      <c r="AF57" s="255"/>
      <c r="AG57" s="255"/>
      <c r="AH57" s="255"/>
      <c r="AI57" s="255"/>
      <c r="AJ57" s="255"/>
      <c r="AK57" s="255"/>
      <c r="AL57" s="255"/>
      <c r="AM57" s="255"/>
    </row>
    <row r="58" spans="1:39" x14ac:dyDescent="0.25">
      <c r="A58" s="269" t="s">
        <v>69</v>
      </c>
      <c r="B58" s="268">
        <f>(B55*D55*F55)/H56</f>
        <v>0</v>
      </c>
      <c r="C58" s="273" t="s">
        <v>72</v>
      </c>
      <c r="D58" s="255"/>
      <c r="E58" s="269" t="s">
        <v>69</v>
      </c>
      <c r="F58" s="285">
        <f>B58*2000/8760</f>
        <v>0</v>
      </c>
      <c r="G58" s="271" t="s">
        <v>70</v>
      </c>
      <c r="H58" s="255"/>
      <c r="I58" s="255"/>
      <c r="J58" s="259"/>
      <c r="K58" s="269" t="s">
        <v>69</v>
      </c>
      <c r="L58" s="268">
        <f>(L55*N55*P55)/R56</f>
        <v>2.4227280000000003E-4</v>
      </c>
      <c r="M58" s="273" t="s">
        <v>72</v>
      </c>
      <c r="N58" s="255"/>
      <c r="O58" s="269" t="s">
        <v>69</v>
      </c>
      <c r="P58" s="285">
        <f>L58*2000/8760</f>
        <v>5.5313424657534252E-5</v>
      </c>
      <c r="Q58" s="271" t="s">
        <v>70</v>
      </c>
      <c r="R58" s="255"/>
      <c r="S58" s="255"/>
      <c r="U58" s="269" t="s">
        <v>69</v>
      </c>
      <c r="V58" s="268">
        <f>(V55*X55*Z55)/AB56</f>
        <v>6.6224723400000005E-2</v>
      </c>
      <c r="W58" s="273" t="s">
        <v>72</v>
      </c>
      <c r="X58" s="255"/>
      <c r="Y58" s="269" t="s">
        <v>69</v>
      </c>
      <c r="Z58" s="285">
        <f>V58*2000/8760</f>
        <v>1.5119799863013698E-2</v>
      </c>
      <c r="AA58" s="271" t="s">
        <v>70</v>
      </c>
      <c r="AB58" s="255"/>
      <c r="AC58" s="255"/>
      <c r="AE58" s="269" t="s">
        <v>69</v>
      </c>
      <c r="AF58" s="268">
        <f>(AF55*AH55*AJ55)/AL56</f>
        <v>7.0303058099999996E-2</v>
      </c>
      <c r="AG58" s="273" t="s">
        <v>72</v>
      </c>
      <c r="AH58" s="255"/>
      <c r="AI58" s="269" t="s">
        <v>69</v>
      </c>
      <c r="AJ58" s="285">
        <f>AF58*2000/8760</f>
        <v>1.6050926506849316E-2</v>
      </c>
      <c r="AK58" s="271" t="s">
        <v>70</v>
      </c>
      <c r="AL58" s="255"/>
      <c r="AM58" s="255"/>
    </row>
    <row r="59" spans="1:39" x14ac:dyDescent="0.25">
      <c r="A59" s="255"/>
      <c r="B59" s="255"/>
      <c r="C59" s="259" t="s">
        <v>279</v>
      </c>
      <c r="D59" s="255"/>
      <c r="E59" s="255"/>
      <c r="F59" s="255"/>
      <c r="G59" s="255" t="s">
        <v>128</v>
      </c>
      <c r="H59" s="255"/>
      <c r="I59" s="255"/>
      <c r="J59" s="259"/>
      <c r="K59" s="255"/>
      <c r="L59" s="255"/>
      <c r="M59" s="259" t="s">
        <v>279</v>
      </c>
      <c r="N59" s="255"/>
      <c r="O59" s="255"/>
      <c r="P59" s="255"/>
      <c r="Q59" s="255" t="s">
        <v>128</v>
      </c>
      <c r="R59" s="255"/>
      <c r="S59" s="255"/>
      <c r="U59" s="255"/>
      <c r="V59" s="255"/>
      <c r="W59" s="259" t="s">
        <v>279</v>
      </c>
      <c r="X59" s="255"/>
      <c r="Y59" s="255"/>
      <c r="Z59" s="255"/>
      <c r="AA59" s="255" t="s">
        <v>128</v>
      </c>
      <c r="AB59" s="255"/>
      <c r="AC59" s="255"/>
      <c r="AE59" s="255"/>
      <c r="AF59" s="255"/>
      <c r="AG59" s="259" t="s">
        <v>279</v>
      </c>
      <c r="AH59" s="255"/>
      <c r="AI59" s="255"/>
      <c r="AJ59" s="255"/>
      <c r="AK59" s="255" t="s">
        <v>128</v>
      </c>
      <c r="AL59" s="255"/>
      <c r="AM59" s="255"/>
    </row>
    <row r="60" spans="1:39" x14ac:dyDescent="0.25">
      <c r="A60" s="255"/>
      <c r="B60" s="255"/>
      <c r="C60" s="255"/>
      <c r="D60" s="255"/>
      <c r="E60" s="255"/>
      <c r="F60" s="255"/>
      <c r="G60" s="255"/>
      <c r="H60" s="255"/>
      <c r="I60" s="255"/>
      <c r="J60" s="259"/>
      <c r="K60" s="255"/>
      <c r="L60" s="255"/>
      <c r="M60" s="255"/>
      <c r="N60" s="255"/>
      <c r="O60" s="255"/>
      <c r="P60" s="255"/>
      <c r="Q60" s="255"/>
      <c r="R60" s="255"/>
      <c r="S60" s="255"/>
      <c r="U60" s="255"/>
      <c r="V60" s="255"/>
      <c r="W60" s="255"/>
      <c r="X60" s="255"/>
      <c r="Y60" s="255"/>
      <c r="Z60" s="255"/>
      <c r="AA60" s="255"/>
      <c r="AB60" s="255"/>
      <c r="AC60" s="255"/>
      <c r="AE60" s="255"/>
      <c r="AF60" s="255"/>
      <c r="AG60" s="255"/>
      <c r="AH60" s="255"/>
      <c r="AI60" s="255"/>
      <c r="AJ60" s="255"/>
      <c r="AK60" s="255"/>
      <c r="AL60" s="255"/>
      <c r="AM60" s="255"/>
    </row>
    <row r="61" spans="1:39" x14ac:dyDescent="0.25">
      <c r="A61" s="255" t="s">
        <v>78</v>
      </c>
      <c r="B61" s="255"/>
      <c r="C61" s="255"/>
      <c r="D61" s="255"/>
      <c r="E61" s="255"/>
      <c r="F61" s="255"/>
      <c r="G61" s="255"/>
      <c r="H61" s="255"/>
      <c r="I61" s="255"/>
      <c r="J61" s="259"/>
      <c r="K61" s="255" t="s">
        <v>78</v>
      </c>
      <c r="L61" s="255"/>
      <c r="M61" s="255"/>
      <c r="N61" s="255"/>
      <c r="O61" s="255"/>
      <c r="P61" s="255"/>
      <c r="Q61" s="255"/>
      <c r="R61" s="255"/>
      <c r="S61" s="255"/>
      <c r="U61" s="255" t="s">
        <v>78</v>
      </c>
      <c r="V61" s="255"/>
      <c r="W61" s="255"/>
      <c r="X61" s="255"/>
      <c r="Y61" s="255"/>
      <c r="Z61" s="255"/>
      <c r="AA61" s="255"/>
      <c r="AB61" s="255"/>
      <c r="AC61" s="255"/>
      <c r="AE61" s="255" t="s">
        <v>78</v>
      </c>
      <c r="AF61" s="255"/>
      <c r="AG61" s="255"/>
      <c r="AH61" s="255"/>
      <c r="AI61" s="255"/>
      <c r="AJ61" s="255"/>
      <c r="AK61" s="255"/>
      <c r="AL61" s="255"/>
      <c r="AM61" s="255"/>
    </row>
    <row r="62" spans="1:39" x14ac:dyDescent="0.25">
      <c r="A62" s="255"/>
      <c r="B62" s="255"/>
      <c r="C62" s="255"/>
      <c r="D62" s="255"/>
      <c r="E62" s="255"/>
      <c r="F62" s="255"/>
      <c r="G62" s="255"/>
      <c r="H62" s="255"/>
      <c r="I62" s="255"/>
      <c r="J62" s="259"/>
      <c r="K62" s="255"/>
      <c r="L62" s="255"/>
      <c r="M62" s="255"/>
      <c r="N62" s="255"/>
      <c r="O62" s="255"/>
      <c r="P62" s="255"/>
      <c r="Q62" s="255"/>
      <c r="R62" s="255"/>
      <c r="S62" s="255"/>
      <c r="U62" s="255"/>
      <c r="V62" s="255"/>
      <c r="W62" s="255"/>
      <c r="X62" s="255"/>
      <c r="Y62" s="255"/>
      <c r="Z62" s="255"/>
      <c r="AA62" s="255"/>
      <c r="AB62" s="255"/>
      <c r="AC62" s="255"/>
      <c r="AE62" s="255"/>
      <c r="AF62" s="255"/>
      <c r="AG62" s="255"/>
      <c r="AH62" s="255"/>
      <c r="AI62" s="255"/>
      <c r="AJ62" s="255"/>
      <c r="AK62" s="255"/>
      <c r="AL62" s="255"/>
      <c r="AM62" s="255"/>
    </row>
    <row r="63" spans="1:39" x14ac:dyDescent="0.25">
      <c r="A63" s="269" t="s">
        <v>69</v>
      </c>
      <c r="B63" s="270">
        <v>1.4E-5</v>
      </c>
      <c r="C63" s="271" t="s">
        <v>70</v>
      </c>
      <c r="D63" s="272">
        <f>B12</f>
        <v>0</v>
      </c>
      <c r="E63" s="271" t="s">
        <v>126</v>
      </c>
      <c r="F63" s="270">
        <v>0.13800000000000001</v>
      </c>
      <c r="G63" s="271" t="s">
        <v>86</v>
      </c>
      <c r="H63" s="270">
        <v>1</v>
      </c>
      <c r="I63" s="271" t="s">
        <v>72</v>
      </c>
      <c r="J63" s="259"/>
      <c r="K63" s="269" t="s">
        <v>69</v>
      </c>
      <c r="L63" s="270">
        <v>1.4E-5</v>
      </c>
      <c r="M63" s="271" t="s">
        <v>70</v>
      </c>
      <c r="N63" s="272">
        <f>L12</f>
        <v>1064</v>
      </c>
      <c r="O63" s="271" t="s">
        <v>126</v>
      </c>
      <c r="P63" s="270">
        <v>0.13800000000000001</v>
      </c>
      <c r="Q63" s="271" t="s">
        <v>86</v>
      </c>
      <c r="R63" s="270">
        <v>1</v>
      </c>
      <c r="S63" s="271" t="s">
        <v>72</v>
      </c>
      <c r="U63" s="269" t="s">
        <v>69</v>
      </c>
      <c r="V63" s="270">
        <v>1.4E-5</v>
      </c>
      <c r="W63" s="271" t="s">
        <v>70</v>
      </c>
      <c r="X63" s="272">
        <f>V12</f>
        <v>290842</v>
      </c>
      <c r="Y63" s="271" t="s">
        <v>126</v>
      </c>
      <c r="Z63" s="270">
        <v>0.13800000000000001</v>
      </c>
      <c r="AA63" s="271" t="s">
        <v>86</v>
      </c>
      <c r="AB63" s="270">
        <v>1</v>
      </c>
      <c r="AC63" s="271" t="s">
        <v>72</v>
      </c>
      <c r="AE63" s="269" t="s">
        <v>69</v>
      </c>
      <c r="AF63" s="270">
        <v>1.4E-5</v>
      </c>
      <c r="AG63" s="271" t="s">
        <v>70</v>
      </c>
      <c r="AH63" s="272">
        <f>AF12</f>
        <v>308753</v>
      </c>
      <c r="AI63" s="271" t="s">
        <v>126</v>
      </c>
      <c r="AJ63" s="270">
        <v>0.13800000000000001</v>
      </c>
      <c r="AK63" s="271" t="s">
        <v>86</v>
      </c>
      <c r="AL63" s="270">
        <v>1</v>
      </c>
      <c r="AM63" s="271" t="s">
        <v>72</v>
      </c>
    </row>
    <row r="64" spans="1:39" x14ac:dyDescent="0.25">
      <c r="A64" s="255"/>
      <c r="B64" s="283"/>
      <c r="C64" s="284" t="s">
        <v>86</v>
      </c>
      <c r="D64" s="283"/>
      <c r="E64" s="284" t="s">
        <v>279</v>
      </c>
      <c r="F64" s="283"/>
      <c r="G64" s="284" t="s">
        <v>71</v>
      </c>
      <c r="H64" s="274">
        <v>2000</v>
      </c>
      <c r="I64" s="255" t="s">
        <v>70</v>
      </c>
      <c r="J64" s="259"/>
      <c r="K64" s="255"/>
      <c r="L64" s="283"/>
      <c r="M64" s="284" t="s">
        <v>86</v>
      </c>
      <c r="N64" s="283"/>
      <c r="O64" s="284" t="s">
        <v>279</v>
      </c>
      <c r="P64" s="283"/>
      <c r="Q64" s="284" t="s">
        <v>71</v>
      </c>
      <c r="R64" s="274">
        <v>2000</v>
      </c>
      <c r="S64" s="255" t="s">
        <v>70</v>
      </c>
      <c r="U64" s="255"/>
      <c r="V64" s="283"/>
      <c r="W64" s="284" t="s">
        <v>86</v>
      </c>
      <c r="X64" s="283"/>
      <c r="Y64" s="284" t="s">
        <v>279</v>
      </c>
      <c r="Z64" s="283"/>
      <c r="AA64" s="284" t="s">
        <v>71</v>
      </c>
      <c r="AB64" s="274">
        <v>2000</v>
      </c>
      <c r="AC64" s="255" t="s">
        <v>70</v>
      </c>
      <c r="AE64" s="255"/>
      <c r="AF64" s="283"/>
      <c r="AG64" s="284" t="s">
        <v>86</v>
      </c>
      <c r="AH64" s="283"/>
      <c r="AI64" s="284" t="s">
        <v>279</v>
      </c>
      <c r="AJ64" s="283"/>
      <c r="AK64" s="284" t="s">
        <v>71</v>
      </c>
      <c r="AL64" s="274">
        <v>2000</v>
      </c>
      <c r="AM64" s="255" t="s">
        <v>70</v>
      </c>
    </row>
    <row r="66" spans="1:39" x14ac:dyDescent="0.25">
      <c r="A66" s="269" t="s">
        <v>69</v>
      </c>
      <c r="B66" s="268">
        <f>(B63*D63*F63)/H64</f>
        <v>0</v>
      </c>
      <c r="C66" s="273" t="s">
        <v>72</v>
      </c>
      <c r="D66" s="255"/>
      <c r="E66" s="269" t="s">
        <v>69</v>
      </c>
      <c r="F66" s="285">
        <f>B66*2000/8760</f>
        <v>0</v>
      </c>
      <c r="G66" s="271" t="s">
        <v>70</v>
      </c>
      <c r="H66" s="255"/>
      <c r="I66" s="255"/>
      <c r="J66" s="255"/>
      <c r="K66" s="269" t="s">
        <v>69</v>
      </c>
      <c r="L66" s="268">
        <f>(L63*N63*P63)/R64</f>
        <v>1.0278240000000002E-6</v>
      </c>
      <c r="M66" s="273" t="s">
        <v>72</v>
      </c>
      <c r="N66" s="255"/>
      <c r="O66" s="269" t="s">
        <v>69</v>
      </c>
      <c r="P66" s="285">
        <f>L66*2000/8760</f>
        <v>2.3466301369863016E-7</v>
      </c>
      <c r="Q66" s="271" t="s">
        <v>70</v>
      </c>
      <c r="R66" s="255"/>
      <c r="S66" s="255"/>
      <c r="T66" s="255"/>
      <c r="U66" s="269" t="s">
        <v>69</v>
      </c>
      <c r="V66" s="268">
        <f>(V63*X63*Z63)/AB64</f>
        <v>2.80953372E-4</v>
      </c>
      <c r="W66" s="273" t="s">
        <v>72</v>
      </c>
      <c r="X66" s="255"/>
      <c r="Y66" s="269" t="s">
        <v>69</v>
      </c>
      <c r="Z66" s="285">
        <f>V66*2000/8760</f>
        <v>6.4144605479452045E-5</v>
      </c>
      <c r="AA66" s="271" t="s">
        <v>70</v>
      </c>
      <c r="AB66" s="255"/>
      <c r="AC66" s="255"/>
      <c r="AE66" s="269" t="s">
        <v>69</v>
      </c>
      <c r="AF66" s="268">
        <f>(AF63*AH63*AJ63)/AL64</f>
        <v>2.9825539800000007E-4</v>
      </c>
      <c r="AG66" s="273" t="s">
        <v>72</v>
      </c>
      <c r="AH66" s="255"/>
      <c r="AI66" s="269" t="s">
        <v>69</v>
      </c>
      <c r="AJ66" s="285">
        <f>AF66*2000/8760</f>
        <v>6.8094839726027417E-5</v>
      </c>
      <c r="AK66" s="271" t="s">
        <v>70</v>
      </c>
      <c r="AL66" s="255"/>
      <c r="AM66" s="255"/>
    </row>
    <row r="67" spans="1:39" x14ac:dyDescent="0.25">
      <c r="A67" s="255"/>
      <c r="B67" s="255"/>
      <c r="C67" s="259" t="s">
        <v>279</v>
      </c>
      <c r="D67" s="255"/>
      <c r="E67" s="255"/>
      <c r="F67" s="255"/>
      <c r="G67" s="255" t="s">
        <v>128</v>
      </c>
      <c r="H67" s="255"/>
      <c r="I67" s="255"/>
      <c r="J67" s="255"/>
      <c r="K67" s="255"/>
      <c r="L67" s="255"/>
      <c r="M67" s="259" t="s">
        <v>279</v>
      </c>
      <c r="N67" s="255"/>
      <c r="O67" s="255"/>
      <c r="P67" s="255"/>
      <c r="Q67" s="255" t="s">
        <v>128</v>
      </c>
      <c r="R67" s="255"/>
      <c r="S67" s="255"/>
      <c r="T67" s="255"/>
      <c r="U67" s="255"/>
      <c r="V67" s="255"/>
      <c r="W67" s="259" t="s">
        <v>279</v>
      </c>
      <c r="X67" s="255"/>
      <c r="Y67" s="255"/>
      <c r="Z67" s="255"/>
      <c r="AA67" s="255" t="s">
        <v>128</v>
      </c>
      <c r="AB67" s="255"/>
      <c r="AC67" s="255"/>
      <c r="AE67" s="255"/>
      <c r="AF67" s="255"/>
      <c r="AG67" s="259" t="s">
        <v>279</v>
      </c>
      <c r="AH67" s="255"/>
      <c r="AI67" s="255"/>
      <c r="AJ67" s="255"/>
      <c r="AK67" s="255" t="s">
        <v>128</v>
      </c>
      <c r="AL67" s="255"/>
      <c r="AM67" s="255"/>
    </row>
    <row r="68" spans="1:39" x14ac:dyDescent="0.25">
      <c r="R68" s="255"/>
      <c r="S68" s="255"/>
      <c r="T68" s="255"/>
      <c r="U68" s="255"/>
    </row>
    <row r="69" spans="1:39" x14ac:dyDescent="0.25">
      <c r="R69" s="255"/>
      <c r="S69" s="255"/>
      <c r="T69" s="255"/>
      <c r="U69" s="255"/>
    </row>
    <row r="70" spans="1:39" x14ac:dyDescent="0.25">
      <c r="A70" s="323" t="s">
        <v>334</v>
      </c>
      <c r="B70" s="24"/>
      <c r="C70" s="24"/>
      <c r="D70" s="24"/>
      <c r="E70" s="24"/>
      <c r="F70" s="24"/>
      <c r="G70" s="24"/>
      <c r="K70" s="323" t="s">
        <v>334</v>
      </c>
      <c r="L70" s="24"/>
      <c r="M70" s="24"/>
      <c r="N70" s="24"/>
      <c r="O70" s="24"/>
      <c r="P70" s="24"/>
      <c r="Q70" s="24"/>
      <c r="R70" s="255"/>
      <c r="S70" s="255"/>
      <c r="T70" s="255"/>
      <c r="U70" s="323" t="s">
        <v>334</v>
      </c>
      <c r="V70" s="24"/>
      <c r="W70" s="24"/>
      <c r="X70" s="24"/>
      <c r="Y70" s="24"/>
      <c r="Z70" s="24"/>
      <c r="AA70" s="24"/>
      <c r="AE70" s="323" t="s">
        <v>334</v>
      </c>
      <c r="AF70" s="24"/>
      <c r="AG70" s="24"/>
      <c r="AH70" s="24"/>
      <c r="AI70" s="24"/>
      <c r="AJ70" s="24"/>
      <c r="AK70" s="24"/>
    </row>
    <row r="71" spans="1:39" x14ac:dyDescent="0.25">
      <c r="R71" s="255"/>
      <c r="S71" s="255"/>
      <c r="T71" s="255"/>
    </row>
    <row r="72" spans="1:39" x14ac:dyDescent="0.25">
      <c r="A72" s="28" t="s">
        <v>69</v>
      </c>
      <c r="B72" s="490">
        <f>AO13</f>
        <v>22.578420600240001</v>
      </c>
      <c r="C72" s="65" t="s">
        <v>70</v>
      </c>
      <c r="D72" s="95">
        <f>D63</f>
        <v>0</v>
      </c>
      <c r="E72" s="65" t="s">
        <v>71</v>
      </c>
      <c r="F72" s="97"/>
      <c r="G72" s="121" t="s">
        <v>72</v>
      </c>
      <c r="K72" s="28" t="s">
        <v>69</v>
      </c>
      <c r="L72" s="490">
        <f>AO13</f>
        <v>22.578420600240001</v>
      </c>
      <c r="M72" s="65" t="s">
        <v>70</v>
      </c>
      <c r="N72" s="95">
        <f>N63</f>
        <v>1064</v>
      </c>
      <c r="O72" s="65" t="s">
        <v>71</v>
      </c>
      <c r="P72" s="97"/>
      <c r="Q72" s="121" t="s">
        <v>72</v>
      </c>
      <c r="R72" s="255"/>
      <c r="S72" s="255"/>
      <c r="T72" s="255"/>
      <c r="U72" s="28" t="s">
        <v>69</v>
      </c>
      <c r="V72" s="490">
        <f>AO13</f>
        <v>22.578420600240001</v>
      </c>
      <c r="W72" s="65" t="s">
        <v>70</v>
      </c>
      <c r="X72" s="95">
        <f>X63</f>
        <v>290842</v>
      </c>
      <c r="Y72" s="65" t="s">
        <v>71</v>
      </c>
      <c r="Z72" s="97"/>
      <c r="AA72" s="121" t="s">
        <v>72</v>
      </c>
      <c r="AE72" s="28" t="s">
        <v>69</v>
      </c>
      <c r="AF72" s="490">
        <f>AO13</f>
        <v>22.578420600240001</v>
      </c>
      <c r="AG72" s="65" t="s">
        <v>70</v>
      </c>
      <c r="AH72" s="95">
        <f>AH63</f>
        <v>308753</v>
      </c>
      <c r="AI72" s="65" t="s">
        <v>71</v>
      </c>
      <c r="AJ72" s="97"/>
      <c r="AK72" s="121" t="s">
        <v>72</v>
      </c>
    </row>
    <row r="73" spans="1:39" x14ac:dyDescent="0.25">
      <c r="A73" s="24"/>
      <c r="B73" s="120"/>
      <c r="C73" s="519" t="s">
        <v>71</v>
      </c>
      <c r="D73" s="96"/>
      <c r="E73" s="57" t="s">
        <v>279</v>
      </c>
      <c r="F73" s="56">
        <v>2000</v>
      </c>
      <c r="G73" s="115" t="s">
        <v>70</v>
      </c>
      <c r="K73" s="24"/>
      <c r="L73" s="120"/>
      <c r="M73" s="519" t="s">
        <v>71</v>
      </c>
      <c r="N73" s="96"/>
      <c r="O73" s="57" t="s">
        <v>279</v>
      </c>
      <c r="P73" s="56">
        <v>2000</v>
      </c>
      <c r="Q73" s="115" t="s">
        <v>70</v>
      </c>
      <c r="R73" s="255"/>
      <c r="S73" s="255"/>
      <c r="T73" s="255"/>
      <c r="U73" s="24"/>
      <c r="V73" s="120"/>
      <c r="W73" s="519" t="s">
        <v>71</v>
      </c>
      <c r="X73" s="96"/>
      <c r="Y73" s="57" t="s">
        <v>279</v>
      </c>
      <c r="Z73" s="56">
        <v>2000</v>
      </c>
      <c r="AA73" s="115" t="s">
        <v>70</v>
      </c>
      <c r="AE73" s="24"/>
      <c r="AF73" s="120"/>
      <c r="AG73" s="519" t="s">
        <v>71</v>
      </c>
      <c r="AH73" s="96"/>
      <c r="AI73" s="57" t="s">
        <v>279</v>
      </c>
      <c r="AJ73" s="56">
        <v>2000</v>
      </c>
      <c r="AK73" s="115" t="s">
        <v>70</v>
      </c>
    </row>
    <row r="74" spans="1:39" x14ac:dyDescent="0.25">
      <c r="R74" s="255"/>
      <c r="S74" s="255"/>
      <c r="T74" s="255"/>
    </row>
    <row r="76" spans="1:39" x14ac:dyDescent="0.25">
      <c r="A76" s="28" t="s">
        <v>69</v>
      </c>
      <c r="B76" s="64">
        <f>B72*D72/F73</f>
        <v>0</v>
      </c>
      <c r="C76" s="29" t="s">
        <v>72</v>
      </c>
      <c r="D76" s="28" t="s">
        <v>69</v>
      </c>
      <c r="E76" s="64">
        <f>B76*(2000/8760)</f>
        <v>0</v>
      </c>
      <c r="F76" s="29" t="s">
        <v>70</v>
      </c>
      <c r="G76" s="24"/>
      <c r="K76" s="28" t="s">
        <v>69</v>
      </c>
      <c r="L76" s="64">
        <f>L72*N72/P73</f>
        <v>12.011719759327681</v>
      </c>
      <c r="M76" s="29" t="s">
        <v>72</v>
      </c>
      <c r="N76" s="28" t="s">
        <v>69</v>
      </c>
      <c r="O76" s="64">
        <f>L76*(2000/8760)</f>
        <v>2.7424017715360001</v>
      </c>
      <c r="P76" s="29" t="s">
        <v>70</v>
      </c>
      <c r="Q76" s="24"/>
      <c r="U76" s="28" t="s">
        <v>69</v>
      </c>
      <c r="V76" s="64">
        <f>V72*X72/Z73</f>
        <v>3283.376502107501</v>
      </c>
      <c r="W76" s="29" t="s">
        <v>72</v>
      </c>
      <c r="X76" s="28" t="s">
        <v>69</v>
      </c>
      <c r="Y76" s="64">
        <f>V76*(2000/8760)</f>
        <v>749.62933838070796</v>
      </c>
      <c r="Z76" s="29" t="s">
        <v>70</v>
      </c>
      <c r="AA76" s="24"/>
      <c r="AE76" s="28" t="s">
        <v>69</v>
      </c>
      <c r="AF76" s="64">
        <f>AF72*AH72/AJ73</f>
        <v>3485.5775477929506</v>
      </c>
      <c r="AG76" s="29" t="s">
        <v>72</v>
      </c>
      <c r="AH76" s="28" t="s">
        <v>69</v>
      </c>
      <c r="AI76" s="64">
        <f>AF76*(2000/8760)</f>
        <v>795.79396068332198</v>
      </c>
      <c r="AJ76" s="29" t="s">
        <v>70</v>
      </c>
      <c r="AK76" s="24"/>
    </row>
    <row r="77" spans="1:39" x14ac:dyDescent="0.25">
      <c r="A77" s="24"/>
      <c r="B77" s="24"/>
      <c r="C77" s="26" t="s">
        <v>279</v>
      </c>
      <c r="D77" s="24"/>
      <c r="E77" s="24"/>
      <c r="F77" s="26" t="s">
        <v>128</v>
      </c>
      <c r="G77" s="24"/>
      <c r="K77" s="24"/>
      <c r="L77" s="24"/>
      <c r="M77" s="26" t="s">
        <v>279</v>
      </c>
      <c r="N77" s="24"/>
      <c r="O77" s="24"/>
      <c r="P77" s="26" t="s">
        <v>128</v>
      </c>
      <c r="Q77" s="24"/>
      <c r="U77" s="24"/>
      <c r="V77" s="24"/>
      <c r="W77" s="26" t="s">
        <v>279</v>
      </c>
      <c r="X77" s="24"/>
      <c r="Y77" s="24"/>
      <c r="Z77" s="26" t="s">
        <v>128</v>
      </c>
      <c r="AA77" s="24"/>
      <c r="AE77" s="24"/>
      <c r="AF77" s="24"/>
      <c r="AG77" s="26" t="s">
        <v>279</v>
      </c>
      <c r="AH77" s="24"/>
      <c r="AI77" s="24"/>
      <c r="AJ77" s="26" t="s">
        <v>128</v>
      </c>
      <c r="AK77" s="24"/>
    </row>
  </sheetData>
  <mergeCells count="12">
    <mergeCell ref="A1:I1"/>
    <mergeCell ref="A51:I51"/>
    <mergeCell ref="K1:S1"/>
    <mergeCell ref="K3:L3"/>
    <mergeCell ref="K51:S51"/>
    <mergeCell ref="A3:B3"/>
    <mergeCell ref="U1:AC1"/>
    <mergeCell ref="U3:V3"/>
    <mergeCell ref="U51:AC51"/>
    <mergeCell ref="AE1:AM1"/>
    <mergeCell ref="AE3:AF3"/>
    <mergeCell ref="AE51:AM5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3"/>
  <dimension ref="A1:D31"/>
  <sheetViews>
    <sheetView view="pageLayout" zoomScaleNormal="100" workbookViewId="0">
      <selection activeCell="C19" sqref="C19"/>
    </sheetView>
  </sheetViews>
  <sheetFormatPr defaultRowHeight="15" x14ac:dyDescent="0.25"/>
  <cols>
    <col min="1" max="1" width="15.42578125" customWidth="1"/>
    <col min="2" max="2" width="11.140625" customWidth="1"/>
    <col min="3" max="3" width="24.5703125" customWidth="1"/>
    <col min="4" max="4" width="21.140625" customWidth="1"/>
  </cols>
  <sheetData>
    <row r="1" spans="1:4" ht="15.75" x14ac:dyDescent="0.25">
      <c r="A1" s="257"/>
      <c r="B1" s="255"/>
      <c r="C1" s="255"/>
      <c r="D1" s="255"/>
    </row>
    <row r="2" spans="1:4" ht="15.75" x14ac:dyDescent="0.25">
      <c r="A2" s="257"/>
      <c r="B2" s="255"/>
      <c r="C2" s="255"/>
      <c r="D2" s="255"/>
    </row>
    <row r="3" spans="1:4" ht="15.75" x14ac:dyDescent="0.25">
      <c r="A3" s="868" t="s">
        <v>94</v>
      </c>
      <c r="B3" s="868"/>
      <c r="C3" s="868"/>
      <c r="D3" s="868"/>
    </row>
    <row r="4" spans="1:4" ht="15.75" x14ac:dyDescent="0.25">
      <c r="A4" s="257"/>
      <c r="B4" s="255"/>
      <c r="C4" s="255"/>
      <c r="D4" s="255"/>
    </row>
    <row r="5" spans="1:4" x14ac:dyDescent="0.25">
      <c r="A5" s="874" t="s">
        <v>95</v>
      </c>
      <c r="B5" s="874"/>
      <c r="C5" s="874"/>
      <c r="D5" s="874"/>
    </row>
    <row r="6" spans="1:4" x14ac:dyDescent="0.25">
      <c r="A6" s="874" t="s">
        <v>231</v>
      </c>
      <c r="B6" s="874"/>
      <c r="C6" s="874"/>
      <c r="D6" s="874"/>
    </row>
    <row r="7" spans="1:4" x14ac:dyDescent="0.25">
      <c r="A7" s="873" t="s">
        <v>234</v>
      </c>
      <c r="B7" s="874"/>
      <c r="C7" s="874"/>
      <c r="D7" s="874"/>
    </row>
    <row r="8" spans="1:4" x14ac:dyDescent="0.25">
      <c r="A8" s="259"/>
      <c r="B8" s="259"/>
      <c r="C8" s="259"/>
      <c r="D8" s="259"/>
    </row>
    <row r="9" spans="1:4" x14ac:dyDescent="0.25">
      <c r="A9" s="875" t="s">
        <v>397</v>
      </c>
      <c r="B9" s="875"/>
      <c r="C9" s="875"/>
      <c r="D9" s="875"/>
    </row>
    <row r="10" spans="1:4" ht="16.5" thickBot="1" x14ac:dyDescent="0.3">
      <c r="A10" s="258"/>
      <c r="B10" s="255"/>
      <c r="C10" s="255"/>
      <c r="D10" s="255"/>
    </row>
    <row r="11" spans="1:4" ht="15.75" thickTop="1" x14ac:dyDescent="0.25">
      <c r="A11" s="869" t="s">
        <v>139</v>
      </c>
      <c r="B11" s="870"/>
      <c r="C11" s="263" t="s">
        <v>98</v>
      </c>
      <c r="D11" s="279" t="s">
        <v>98</v>
      </c>
    </row>
    <row r="12" spans="1:4" ht="15.75" thickBot="1" x14ac:dyDescent="0.3">
      <c r="A12" s="871"/>
      <c r="B12" s="872"/>
      <c r="C12" s="265" t="s">
        <v>99</v>
      </c>
      <c r="D12" s="280" t="s">
        <v>232</v>
      </c>
    </row>
    <row r="13" spans="1:4" ht="16.5" thickTop="1" x14ac:dyDescent="0.25">
      <c r="A13" s="878" t="s">
        <v>54</v>
      </c>
      <c r="B13" s="879"/>
      <c r="C13" s="260">
        <v>83.1</v>
      </c>
      <c r="D13" s="260">
        <f>'Cálculos Mayagüez'!B21+'Cálculos Mayagüez'!L21+'Cálculos Mayagüez'!V21+'Cálculos Mayagüez'!AF21</f>
        <v>0.49734565200000008</v>
      </c>
    </row>
    <row r="14" spans="1:4" ht="15.75" x14ac:dyDescent="0.25">
      <c r="A14" s="877" t="s">
        <v>56</v>
      </c>
      <c r="B14" s="877"/>
      <c r="C14" s="261">
        <v>304.82</v>
      </c>
      <c r="D14" s="261">
        <f>'Cálculos Mayagüez'!B29+'Cálculos Mayagüez'!L29+'Cálculos Mayagüez'!V29+'Cálculos Mayagüez'!AF29</f>
        <v>0.41859925710000001</v>
      </c>
    </row>
    <row r="15" spans="1:4" ht="15.75" x14ac:dyDescent="0.25">
      <c r="A15" s="877" t="s">
        <v>57</v>
      </c>
      <c r="B15" s="877"/>
      <c r="C15" s="261">
        <v>796.29</v>
      </c>
      <c r="D15" s="261">
        <f>'Cálculos Mayagüez'!B37+'Cálculos Mayagüez'!L37+'Cálculos Mayagüez'!V37+'Cálculos Mayagüez'!AF37</f>
        <v>11.921280639463134</v>
      </c>
    </row>
    <row r="16" spans="1:4" ht="15.75" x14ac:dyDescent="0.25">
      <c r="A16" s="877" t="s">
        <v>59</v>
      </c>
      <c r="B16" s="877"/>
      <c r="C16" s="261">
        <v>25.06</v>
      </c>
      <c r="D16" s="261">
        <f>'Cálculos Mayagüez'!B45+'Cálculos Mayagüez'!L45+'Cálculos Mayagüez'!V45+'Cálculos Mayagüez'!AF45</f>
        <v>1.6992643110000004E-2</v>
      </c>
    </row>
    <row r="17" spans="1:4" ht="18.75" x14ac:dyDescent="0.25">
      <c r="A17" s="877" t="s">
        <v>135</v>
      </c>
      <c r="B17" s="877"/>
      <c r="C17" s="260">
        <v>93.93</v>
      </c>
      <c r="D17" s="260">
        <f>'Cálculos Mayagüez'!B58+'Cálculos Mayagüez'!L58+'Cálculos Mayagüez'!V58+'Cálculos Mayagüez'!AF58</f>
        <v>0.1367700543</v>
      </c>
    </row>
    <row r="18" spans="1:4" ht="18.75" x14ac:dyDescent="0.25">
      <c r="A18" s="877" t="s">
        <v>136</v>
      </c>
      <c r="B18" s="877"/>
      <c r="C18" s="278">
        <v>1.7000000000000001E-2</v>
      </c>
      <c r="D18" s="262">
        <f>'Cálculos Mayagüez'!B66+'Cálculos Mayagüez'!L66+'Cálculos Mayagüez'!V66+'Cálculos Mayagüez'!AF66</f>
        <v>5.8023659400000004E-4</v>
      </c>
    </row>
    <row r="19" spans="1:4" ht="18.75" x14ac:dyDescent="0.25">
      <c r="A19" s="876" t="s">
        <v>317</v>
      </c>
      <c r="B19" s="876"/>
      <c r="C19" s="74"/>
      <c r="D19" s="515">
        <f>'Cálculos Mayagüez'!B76+'Cálculos Mayagüez'!L76+'Cálculos Mayagüez'!V76+'Cálculos Mayagüez'!AF76</f>
        <v>6780.9657696597787</v>
      </c>
    </row>
    <row r="20" spans="1:4" ht="15.75" x14ac:dyDescent="0.25">
      <c r="A20" s="258"/>
      <c r="B20" s="255"/>
      <c r="C20" s="255"/>
      <c r="D20" s="255"/>
    </row>
    <row r="21" spans="1:4" ht="15.75" x14ac:dyDescent="0.25">
      <c r="A21" s="258" t="s">
        <v>103</v>
      </c>
      <c r="B21" s="255"/>
      <c r="C21" s="255"/>
      <c r="D21" s="255"/>
    </row>
    <row r="22" spans="1:4" ht="15.75" x14ac:dyDescent="0.25">
      <c r="A22" s="258" t="s">
        <v>104</v>
      </c>
      <c r="B22" s="255"/>
      <c r="C22" s="255"/>
      <c r="D22" s="255"/>
    </row>
    <row r="23" spans="1:4" ht="15.75" x14ac:dyDescent="0.25">
      <c r="A23" s="258" t="s">
        <v>105</v>
      </c>
      <c r="B23" s="255"/>
      <c r="C23" s="255"/>
      <c r="D23" s="255"/>
    </row>
    <row r="24" spans="1:4" ht="15.75" x14ac:dyDescent="0.25">
      <c r="A24" s="258" t="s">
        <v>106</v>
      </c>
      <c r="B24" s="255"/>
      <c r="C24" s="255"/>
      <c r="D24" s="255"/>
    </row>
    <row r="25" spans="1:4" ht="15.75" x14ac:dyDescent="0.25">
      <c r="A25" s="258"/>
      <c r="B25" s="255"/>
      <c r="C25" s="255"/>
      <c r="D25" s="255"/>
    </row>
    <row r="26" spans="1:4" ht="15.75" x14ac:dyDescent="0.25">
      <c r="A26" s="258" t="s">
        <v>107</v>
      </c>
      <c r="B26" s="255"/>
      <c r="C26" s="255"/>
      <c r="D26" s="255"/>
    </row>
    <row r="27" spans="1:4" ht="15.75" x14ac:dyDescent="0.25">
      <c r="A27" s="258"/>
      <c r="B27" s="255"/>
      <c r="C27" s="255"/>
      <c r="D27" s="255"/>
    </row>
    <row r="28" spans="1:4" ht="15.75" x14ac:dyDescent="0.25">
      <c r="A28" s="258" t="s">
        <v>233</v>
      </c>
      <c r="B28" s="255"/>
      <c r="C28" s="255"/>
      <c r="D28" s="255"/>
    </row>
    <row r="29" spans="1:4" ht="15.75" x14ac:dyDescent="0.25">
      <c r="A29" s="258" t="s">
        <v>109</v>
      </c>
      <c r="B29" s="255"/>
      <c r="C29" s="255"/>
      <c r="D29" s="255"/>
    </row>
    <row r="31" spans="1:4" ht="15.75" x14ac:dyDescent="0.25">
      <c r="A31" s="51" t="s">
        <v>312</v>
      </c>
    </row>
  </sheetData>
  <mergeCells count="13">
    <mergeCell ref="A19:B19"/>
    <mergeCell ref="A18:B18"/>
    <mergeCell ref="A13:B13"/>
    <mergeCell ref="A14:B14"/>
    <mergeCell ref="A15:B15"/>
    <mergeCell ref="A16:B16"/>
    <mergeCell ref="A17:B17"/>
    <mergeCell ref="A3:D3"/>
    <mergeCell ref="A11:B12"/>
    <mergeCell ref="A7:D7"/>
    <mergeCell ref="A6:D6"/>
    <mergeCell ref="A5:D5"/>
    <mergeCell ref="A9:D9"/>
  </mergeCells>
  <pageMargins left="1.2395833333333333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X83"/>
  <sheetViews>
    <sheetView workbookViewId="0">
      <selection sqref="A1:P1"/>
    </sheetView>
  </sheetViews>
  <sheetFormatPr defaultRowHeight="15" x14ac:dyDescent="0.25"/>
  <cols>
    <col min="1" max="2" width="18.28515625" customWidth="1"/>
    <col min="3" max="3" width="16.5703125" customWidth="1"/>
    <col min="4" max="4" width="12.42578125" customWidth="1"/>
    <col min="5" max="5" width="11.5703125" customWidth="1"/>
    <col min="6" max="6" width="13.5703125" customWidth="1"/>
    <col min="7" max="7" width="4.85546875" customWidth="1"/>
    <col min="8" max="8" width="8.42578125" bestFit="1" customWidth="1"/>
    <col min="9" max="9" width="8.28515625" bestFit="1" customWidth="1"/>
    <col min="10" max="10" width="5.5703125" bestFit="1" customWidth="1"/>
    <col min="11" max="11" width="3.42578125" bestFit="1" customWidth="1"/>
    <col min="12" max="12" width="7.28515625" customWidth="1"/>
    <col min="13" max="13" width="12.7109375" bestFit="1" customWidth="1"/>
    <col min="14" max="14" width="8.5703125" bestFit="1" customWidth="1"/>
    <col min="15" max="15" width="9.140625" bestFit="1" customWidth="1"/>
    <col min="16" max="16" width="8.28515625" bestFit="1" customWidth="1"/>
    <col min="17" max="17" width="1.7109375" bestFit="1" customWidth="1"/>
    <col min="18" max="18" width="8" bestFit="1" customWidth="1"/>
    <col min="19" max="19" width="8.28515625" bestFit="1" customWidth="1"/>
    <col min="20" max="20" width="5.5703125" bestFit="1" customWidth="1"/>
    <col min="21" max="21" width="3.42578125" bestFit="1" customWidth="1"/>
    <col min="23" max="23" width="12" bestFit="1" customWidth="1"/>
  </cols>
  <sheetData>
    <row r="1" spans="1:24" x14ac:dyDescent="0.25">
      <c r="A1" s="900" t="s">
        <v>403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</row>
    <row r="2" spans="1:24" ht="15.75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4" ht="45.95" customHeight="1" thickBot="1" x14ac:dyDescent="0.3">
      <c r="A3" s="152" t="s">
        <v>159</v>
      </c>
      <c r="B3" s="151" t="s">
        <v>269</v>
      </c>
      <c r="C3" s="151" t="s">
        <v>270</v>
      </c>
      <c r="D3" s="150" t="s">
        <v>274</v>
      </c>
      <c r="E3" s="150" t="s">
        <v>174</v>
      </c>
      <c r="M3" s="70"/>
      <c r="N3" s="70"/>
      <c r="O3" s="70"/>
      <c r="P3" s="70"/>
    </row>
    <row r="4" spans="1:24" x14ac:dyDescent="0.25">
      <c r="A4" s="149" t="s">
        <v>57</v>
      </c>
      <c r="B4" s="148">
        <v>0.35</v>
      </c>
      <c r="C4" s="148">
        <v>0.35</v>
      </c>
      <c r="D4" s="34">
        <f>B23</f>
        <v>51.927491384999996</v>
      </c>
      <c r="E4" s="91">
        <f>F23</f>
        <v>11.855591640410957</v>
      </c>
      <c r="J4" s="55"/>
      <c r="K4" s="142"/>
      <c r="L4" s="142"/>
      <c r="M4" s="70"/>
      <c r="N4" s="70"/>
      <c r="O4" s="70"/>
      <c r="P4" s="70"/>
    </row>
    <row r="5" spans="1:24" x14ac:dyDescent="0.25">
      <c r="A5" s="146" t="s">
        <v>61</v>
      </c>
      <c r="B5" s="145">
        <v>8.9999999999999993E-3</v>
      </c>
      <c r="C5" s="467">
        <v>3.8E-3</v>
      </c>
      <c r="D5" s="144">
        <f>B29</f>
        <v>0.56782080450000005</v>
      </c>
      <c r="E5" s="143">
        <f>F29</f>
        <v>0.1296394530821918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24" x14ac:dyDescent="0.25">
      <c r="A6" s="146" t="s">
        <v>59</v>
      </c>
      <c r="B6" s="145">
        <v>8.0000000000000004E-4</v>
      </c>
      <c r="C6" s="145">
        <v>1.2999999999999999E-3</v>
      </c>
      <c r="D6" s="144">
        <f>B35</f>
        <v>0.19248540362999997</v>
      </c>
      <c r="E6" s="143">
        <f>F35</f>
        <v>4.3946439184931498E-2</v>
      </c>
      <c r="F6" s="901" t="s">
        <v>169</v>
      </c>
      <c r="G6" s="902"/>
      <c r="H6" s="902"/>
      <c r="I6" s="902"/>
      <c r="J6" s="902"/>
      <c r="K6" s="902"/>
      <c r="L6" s="902"/>
      <c r="M6" s="902"/>
      <c r="N6" s="902"/>
      <c r="O6" s="161"/>
      <c r="P6" s="161"/>
    </row>
    <row r="7" spans="1:24" x14ac:dyDescent="0.25">
      <c r="A7" s="146" t="s">
        <v>54</v>
      </c>
      <c r="B7" s="145">
        <v>5.0000000000000001E-3</v>
      </c>
      <c r="C7" s="467">
        <v>2.75E-2</v>
      </c>
      <c r="D7" s="144">
        <f>B41</f>
        <v>4.0625510692500004</v>
      </c>
      <c r="E7" s="143">
        <f>F41</f>
        <v>0.92752307517123289</v>
      </c>
      <c r="F7" s="160" t="s">
        <v>275</v>
      </c>
      <c r="G7" s="141" t="s">
        <v>276</v>
      </c>
      <c r="I7" s="141"/>
      <c r="J7" s="141"/>
      <c r="K7" s="141"/>
      <c r="L7" s="141"/>
      <c r="M7" s="141"/>
      <c r="N7" s="141"/>
      <c r="O7" s="141"/>
      <c r="P7" s="141"/>
    </row>
    <row r="8" spans="1:24" x14ac:dyDescent="0.25">
      <c r="A8" s="146" t="s">
        <v>113</v>
      </c>
      <c r="B8" s="145">
        <v>8.0999999999999996E-3</v>
      </c>
      <c r="C8" s="467">
        <v>0.04</v>
      </c>
      <c r="D8" s="144">
        <f>B47</f>
        <v>5.9098073799599993</v>
      </c>
      <c r="E8" s="147">
        <f>F47</f>
        <v>1.3492710913150683</v>
      </c>
      <c r="F8" s="157"/>
      <c r="G8" s="141" t="s">
        <v>277</v>
      </c>
      <c r="H8" s="141"/>
      <c r="I8" s="141"/>
      <c r="J8" s="141"/>
      <c r="K8" s="141"/>
      <c r="L8" s="141"/>
      <c r="M8" s="141"/>
      <c r="N8" s="141"/>
      <c r="O8" s="141"/>
    </row>
    <row r="9" spans="1:24" x14ac:dyDescent="0.25">
      <c r="A9" s="146" t="s">
        <v>155</v>
      </c>
      <c r="B9" s="145">
        <v>7.4999999999999997E-3</v>
      </c>
      <c r="C9" s="467">
        <v>3.3000000000000002E-2</v>
      </c>
      <c r="D9" s="144">
        <f>B53</f>
        <v>4.8762256905000001</v>
      </c>
      <c r="E9" s="143">
        <f>F53</f>
        <v>1.1132935366438357</v>
      </c>
      <c r="F9" s="31"/>
      <c r="G9" s="141" t="s">
        <v>160</v>
      </c>
      <c r="H9" s="141"/>
      <c r="I9" s="141"/>
      <c r="J9" s="141"/>
      <c r="K9" s="141"/>
      <c r="L9" s="141"/>
      <c r="M9" s="141"/>
      <c r="N9" s="141"/>
      <c r="O9" s="141"/>
    </row>
    <row r="10" spans="1:24" x14ac:dyDescent="0.25">
      <c r="A10" s="146" t="s">
        <v>141</v>
      </c>
      <c r="B10" s="145">
        <v>4.0000000000000001E-3</v>
      </c>
      <c r="C10" s="484" t="s">
        <v>325</v>
      </c>
      <c r="D10" s="144">
        <f>B59</f>
        <v>72.606556721100006</v>
      </c>
      <c r="E10" s="143">
        <f>F59</f>
        <v>16.576839434041098</v>
      </c>
      <c r="F10" s="31"/>
      <c r="G10" s="31"/>
      <c r="H10" s="157"/>
      <c r="I10" s="157"/>
      <c r="J10" s="157"/>
      <c r="K10" s="157"/>
      <c r="L10" s="157"/>
      <c r="M10" s="157"/>
      <c r="N10" s="157"/>
      <c r="O10" s="157"/>
      <c r="P10" s="157"/>
    </row>
    <row r="11" spans="1:24" x14ac:dyDescent="0.25">
      <c r="A11" s="146" t="s">
        <v>114</v>
      </c>
      <c r="B11" s="145">
        <v>4.2999999999999999E-4</v>
      </c>
      <c r="C11" s="467">
        <v>2.2589999999999999E-2</v>
      </c>
      <c r="D11" s="144">
        <f>B65</f>
        <v>3.334346479593</v>
      </c>
      <c r="E11" s="143">
        <f>F65</f>
        <v>0.76126631954178081</v>
      </c>
      <c r="F11" s="163" t="s">
        <v>170</v>
      </c>
      <c r="G11" s="141" t="s">
        <v>278</v>
      </c>
      <c r="H11" s="141"/>
      <c r="I11" s="141"/>
      <c r="J11" s="141"/>
      <c r="K11" s="141"/>
      <c r="L11" s="141"/>
      <c r="N11" s="157"/>
      <c r="O11" s="157"/>
      <c r="P11" s="157"/>
      <c r="V11" t="s">
        <v>328</v>
      </c>
      <c r="W11">
        <f>(2039612.73+81.84*25+16.37*298)*2204.6/181872012</f>
        <v>24.807530298581618</v>
      </c>
      <c r="X11" t="s">
        <v>329</v>
      </c>
    </row>
    <row r="12" spans="1:24" x14ac:dyDescent="0.25">
      <c r="A12" s="146" t="s">
        <v>63</v>
      </c>
      <c r="B12" s="145">
        <v>0</v>
      </c>
      <c r="C12" s="471">
        <v>4.6299999999999997E-6</v>
      </c>
      <c r="D12" s="144">
        <f>B71</f>
        <v>6.8333239138499986E-4</v>
      </c>
      <c r="E12" s="143">
        <f>F71</f>
        <v>1.5601196150342463E-4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W12">
        <f>(989989.8+466.4+556)*2204.62/18132099995</f>
        <v>0.12049378268189943</v>
      </c>
      <c r="X12" t="s">
        <v>330</v>
      </c>
    </row>
    <row r="13" spans="1:24" x14ac:dyDescent="0.25">
      <c r="A13" s="500" t="s">
        <v>328</v>
      </c>
      <c r="B13" s="543" t="s">
        <v>358</v>
      </c>
      <c r="C13" s="501" t="s">
        <v>331</v>
      </c>
      <c r="D13" s="508">
        <f>B77</f>
        <v>24498.561841653816</v>
      </c>
      <c r="E13" s="509">
        <f>F77</f>
        <v>5593.2789592816926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4" ht="15.75" thickBot="1" x14ac:dyDescent="0.3">
      <c r="A14" s="153" t="s">
        <v>156</v>
      </c>
      <c r="B14" s="154">
        <v>0</v>
      </c>
      <c r="C14" s="468">
        <v>0</v>
      </c>
      <c r="D14" s="155">
        <v>0</v>
      </c>
      <c r="E14" s="156"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24" x14ac:dyDescent="0.25">
      <c r="A15" s="158"/>
      <c r="B15" s="158"/>
      <c r="C15" s="158"/>
      <c r="D15" s="158"/>
      <c r="E15" s="55"/>
      <c r="H15" s="70"/>
      <c r="I15" s="70"/>
      <c r="J15" s="70"/>
      <c r="K15" s="70"/>
      <c r="L15" s="70"/>
      <c r="M15" s="70"/>
      <c r="N15" s="70"/>
      <c r="O15" s="70"/>
      <c r="P15" s="70"/>
    </row>
    <row r="16" spans="1:24" x14ac:dyDescent="0.25">
      <c r="A16" s="329" t="s">
        <v>357</v>
      </c>
      <c r="B16" s="159">
        <f>'Costa Sur'!D6</f>
        <v>1967839.86</v>
      </c>
      <c r="C16" s="159"/>
      <c r="D16" s="470" t="s">
        <v>268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21" x14ac:dyDescent="0.25">
      <c r="A17" s="330" t="s">
        <v>351</v>
      </c>
      <c r="B17" s="162">
        <f>'Costa Sur'!B43</f>
        <v>1492830</v>
      </c>
      <c r="C17" s="162"/>
      <c r="D17" s="472" t="s">
        <v>271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21" x14ac:dyDescent="0.25">
      <c r="A18" s="194" t="s">
        <v>288</v>
      </c>
      <c r="B18" s="193">
        <f>'Costa Sur'!H6</f>
        <v>0.47</v>
      </c>
      <c r="D18" t="s">
        <v>127</v>
      </c>
      <c r="M18" s="70"/>
      <c r="N18" s="70"/>
      <c r="O18" s="70"/>
      <c r="P18" s="70"/>
    </row>
    <row r="19" spans="1:2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21" ht="15.75" x14ac:dyDescent="0.25">
      <c r="A20" s="136" t="s">
        <v>182</v>
      </c>
      <c r="B20" s="164">
        <f>B16</f>
        <v>1967839.86</v>
      </c>
      <c r="C20" s="469"/>
      <c r="D20" s="165" t="s">
        <v>171</v>
      </c>
      <c r="E20" s="140">
        <v>0.15</v>
      </c>
      <c r="F20" s="167" t="s">
        <v>172</v>
      </c>
      <c r="G20" s="896" t="s">
        <v>183</v>
      </c>
      <c r="H20" s="137">
        <f>C4</f>
        <v>0.35</v>
      </c>
      <c r="I20" s="169" t="s">
        <v>177</v>
      </c>
      <c r="J20" s="137">
        <v>1</v>
      </c>
      <c r="K20" s="137" t="s">
        <v>72</v>
      </c>
      <c r="L20" s="139" t="s">
        <v>173</v>
      </c>
      <c r="M20" s="473">
        <f>B17</f>
        <v>1492830</v>
      </c>
      <c r="N20" s="167" t="s">
        <v>175</v>
      </c>
      <c r="O20" s="164">
        <v>1040</v>
      </c>
      <c r="P20" s="165" t="s">
        <v>176</v>
      </c>
      <c r="Q20" s="896" t="s">
        <v>183</v>
      </c>
      <c r="R20" s="137">
        <f>B4</f>
        <v>0.35</v>
      </c>
      <c r="S20" s="169" t="s">
        <v>177</v>
      </c>
      <c r="T20" s="137">
        <v>1</v>
      </c>
      <c r="U20" s="137" t="s">
        <v>72</v>
      </c>
    </row>
    <row r="21" spans="1:21" x14ac:dyDescent="0.25">
      <c r="A21" s="31"/>
      <c r="B21" s="30"/>
      <c r="C21" s="31"/>
      <c r="D21" s="475" t="s">
        <v>279</v>
      </c>
      <c r="E21" s="31"/>
      <c r="F21" s="63" t="s">
        <v>71</v>
      </c>
      <c r="G21" s="896"/>
      <c r="H21" s="70"/>
      <c r="I21" s="170" t="s">
        <v>119</v>
      </c>
      <c r="J21" s="171">
        <v>2000</v>
      </c>
      <c r="K21" s="70" t="s">
        <v>118</v>
      </c>
      <c r="L21" s="31"/>
      <c r="M21" s="31"/>
      <c r="N21" s="63" t="s">
        <v>279</v>
      </c>
      <c r="O21" s="474">
        <v>1000000</v>
      </c>
      <c r="P21" s="166" t="s">
        <v>31</v>
      </c>
      <c r="Q21" s="896"/>
      <c r="R21" s="70"/>
      <c r="S21" s="170" t="s">
        <v>119</v>
      </c>
      <c r="T21" s="171">
        <v>2000</v>
      </c>
      <c r="U21" s="70" t="s">
        <v>118</v>
      </c>
    </row>
    <row r="22" spans="1:2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1" x14ac:dyDescent="0.25">
      <c r="A23" s="136"/>
      <c r="B23" s="67">
        <f>(B20*E20*H20+M20*O20*R20/1000000)/2000</f>
        <v>51.927491384999996</v>
      </c>
      <c r="C23" s="67"/>
      <c r="D23" s="70" t="s">
        <v>280</v>
      </c>
      <c r="E23" s="136" t="s">
        <v>69</v>
      </c>
      <c r="F23" s="55">
        <f>B23*(2000/8760)</f>
        <v>11.855591640410957</v>
      </c>
      <c r="G23" s="70" t="s">
        <v>161</v>
      </c>
      <c r="H23" s="22"/>
      <c r="I23" s="70"/>
      <c r="J23" s="70"/>
      <c r="K23" s="70"/>
      <c r="L23" s="70"/>
      <c r="M23" s="70"/>
      <c r="N23" s="70"/>
      <c r="O23" s="70"/>
      <c r="P23" s="70"/>
    </row>
    <row r="24" spans="1:21" x14ac:dyDescent="0.25">
      <c r="A24" s="70"/>
      <c r="B24" s="70"/>
      <c r="C24" s="70"/>
      <c r="D24" s="70"/>
      <c r="E24" s="70"/>
      <c r="F24" s="70"/>
      <c r="G24" s="70"/>
      <c r="H24" s="69"/>
      <c r="I24" s="69"/>
      <c r="J24" s="69"/>
      <c r="K24" s="70"/>
      <c r="L24" s="70"/>
      <c r="M24" s="70"/>
      <c r="N24" s="70"/>
      <c r="O24" s="70"/>
      <c r="P24" s="70"/>
    </row>
    <row r="25" spans="1:2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25">
      <c r="A26" s="136" t="s">
        <v>162</v>
      </c>
      <c r="B26" s="164">
        <f>B16</f>
        <v>1967839.86</v>
      </c>
      <c r="C26" s="469"/>
      <c r="D26" s="165" t="s">
        <v>171</v>
      </c>
      <c r="E26" s="140">
        <v>0.15</v>
      </c>
      <c r="F26" s="167" t="s">
        <v>172</v>
      </c>
      <c r="G26" s="896" t="s">
        <v>183</v>
      </c>
      <c r="H26" s="137">
        <f>C5</f>
        <v>3.8E-3</v>
      </c>
      <c r="I26" s="169" t="s">
        <v>177</v>
      </c>
      <c r="J26" s="137">
        <v>1</v>
      </c>
      <c r="K26" s="137" t="s">
        <v>72</v>
      </c>
      <c r="L26" s="139" t="s">
        <v>173</v>
      </c>
      <c r="M26" s="473">
        <f>B17</f>
        <v>1492830</v>
      </c>
      <c r="N26" s="165" t="s">
        <v>175</v>
      </c>
      <c r="O26" s="138">
        <v>1040</v>
      </c>
      <c r="P26" s="165" t="s">
        <v>176</v>
      </c>
      <c r="Q26" s="30" t="s">
        <v>183</v>
      </c>
      <c r="R26" s="137">
        <f>B5</f>
        <v>8.9999999999999993E-3</v>
      </c>
      <c r="S26" s="169" t="s">
        <v>177</v>
      </c>
      <c r="T26" s="168">
        <v>1</v>
      </c>
      <c r="U26" s="137" t="s">
        <v>72</v>
      </c>
    </row>
    <row r="27" spans="1:21" x14ac:dyDescent="0.25">
      <c r="A27" s="31"/>
      <c r="B27" s="30"/>
      <c r="C27" s="31"/>
      <c r="D27" s="166" t="s">
        <v>279</v>
      </c>
      <c r="E27" s="31"/>
      <c r="F27" s="172" t="s">
        <v>71</v>
      </c>
      <c r="G27" s="896"/>
      <c r="H27" s="70"/>
      <c r="I27" s="170" t="s">
        <v>119</v>
      </c>
      <c r="J27" s="171">
        <v>2000</v>
      </c>
      <c r="K27" s="70" t="s">
        <v>118</v>
      </c>
      <c r="L27" s="31"/>
      <c r="M27" s="31"/>
      <c r="N27" s="166" t="s">
        <v>279</v>
      </c>
      <c r="O27" s="476">
        <v>1000000</v>
      </c>
      <c r="P27" s="166" t="s">
        <v>31</v>
      </c>
      <c r="Q27" s="30"/>
      <c r="R27" s="70"/>
      <c r="S27" s="170" t="s">
        <v>119</v>
      </c>
      <c r="T27" s="173">
        <v>2000</v>
      </c>
      <c r="U27" s="70" t="s">
        <v>118</v>
      </c>
    </row>
    <row r="28" spans="1:2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1" x14ac:dyDescent="0.25">
      <c r="A29" s="136"/>
      <c r="B29" s="67">
        <f>(B26*E26*H26+M26*O26*R26/1000000)/2000</f>
        <v>0.56782080450000005</v>
      </c>
      <c r="C29" s="67"/>
      <c r="D29" s="70" t="s">
        <v>280</v>
      </c>
      <c r="E29" s="136" t="s">
        <v>69</v>
      </c>
      <c r="F29" s="55">
        <f>B29*(2000/8760)</f>
        <v>0.1296394530821918</v>
      </c>
      <c r="G29" s="70" t="s">
        <v>161</v>
      </c>
      <c r="I29" s="70"/>
      <c r="J29" s="70"/>
      <c r="K29" s="70"/>
      <c r="L29" s="70"/>
      <c r="M29" s="70"/>
      <c r="N29" s="70"/>
      <c r="O29" s="70"/>
      <c r="P29" s="70"/>
    </row>
    <row r="30" spans="1:2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1" x14ac:dyDescent="0.25">
      <c r="A32" s="136" t="s">
        <v>163</v>
      </c>
      <c r="B32" s="164">
        <f>B16</f>
        <v>1967839.86</v>
      </c>
      <c r="C32" s="469"/>
      <c r="D32" s="165" t="s">
        <v>171</v>
      </c>
      <c r="E32" s="140">
        <v>0.15</v>
      </c>
      <c r="F32" s="167" t="s">
        <v>172</v>
      </c>
      <c r="G32" s="896" t="s">
        <v>183</v>
      </c>
      <c r="H32" s="137">
        <f>C6</f>
        <v>1.2999999999999999E-3</v>
      </c>
      <c r="I32" s="169" t="s">
        <v>177</v>
      </c>
      <c r="J32" s="137">
        <v>1</v>
      </c>
      <c r="K32" s="137" t="s">
        <v>72</v>
      </c>
      <c r="L32" s="139" t="s">
        <v>173</v>
      </c>
      <c r="M32" s="473">
        <f>B17</f>
        <v>1492830</v>
      </c>
      <c r="N32" s="165" t="s">
        <v>175</v>
      </c>
      <c r="O32" s="138">
        <v>1040</v>
      </c>
      <c r="P32" s="165" t="s">
        <v>176</v>
      </c>
      <c r="Q32" s="30" t="s">
        <v>183</v>
      </c>
      <c r="R32" s="137">
        <f>B6</f>
        <v>8.0000000000000004E-4</v>
      </c>
      <c r="S32" s="169" t="s">
        <v>177</v>
      </c>
      <c r="T32" s="137">
        <v>1</v>
      </c>
      <c r="U32" s="137" t="s">
        <v>72</v>
      </c>
    </row>
    <row r="33" spans="1:21" x14ac:dyDescent="0.25">
      <c r="A33" s="31"/>
      <c r="B33" s="30"/>
      <c r="C33" s="31"/>
      <c r="D33" s="166" t="s">
        <v>279</v>
      </c>
      <c r="E33" s="31"/>
      <c r="F33" s="63" t="s">
        <v>71</v>
      </c>
      <c r="G33" s="896"/>
      <c r="H33" s="70"/>
      <c r="I33" s="170" t="s">
        <v>119</v>
      </c>
      <c r="J33" s="171">
        <v>2000</v>
      </c>
      <c r="K33" s="70" t="s">
        <v>118</v>
      </c>
      <c r="L33" s="31"/>
      <c r="M33" s="31"/>
      <c r="N33" s="166" t="s">
        <v>279</v>
      </c>
      <c r="O33" s="476">
        <v>1000000</v>
      </c>
      <c r="P33" s="166" t="s">
        <v>31</v>
      </c>
      <c r="Q33" s="30"/>
      <c r="R33" s="70"/>
      <c r="S33" s="170" t="s">
        <v>119</v>
      </c>
      <c r="T33" s="171">
        <v>2000</v>
      </c>
      <c r="U33" s="70" t="s">
        <v>118</v>
      </c>
    </row>
    <row r="34" spans="1:2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21" x14ac:dyDescent="0.25">
      <c r="A35" s="136"/>
      <c r="B35" s="67">
        <f>(B32*E32*H32+M32*O32*R32/1000000)/2000</f>
        <v>0.19248540362999997</v>
      </c>
      <c r="C35" s="67"/>
      <c r="D35" s="70" t="s">
        <v>280</v>
      </c>
      <c r="E35" s="136" t="s">
        <v>69</v>
      </c>
      <c r="F35" s="55">
        <f>B35*(2000/8760)</f>
        <v>4.3946439184931498E-2</v>
      </c>
      <c r="G35" s="70" t="s">
        <v>161</v>
      </c>
      <c r="I35" s="70"/>
      <c r="J35" s="70"/>
      <c r="K35" s="70"/>
      <c r="L35" s="70"/>
      <c r="M35" s="70"/>
      <c r="N35" s="70"/>
      <c r="O35" s="70"/>
      <c r="P35" s="70"/>
    </row>
    <row r="36" spans="1:2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2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21" x14ac:dyDescent="0.25">
      <c r="A38" s="136" t="s">
        <v>164</v>
      </c>
      <c r="B38" s="164">
        <f>B16</f>
        <v>1967839.86</v>
      </c>
      <c r="C38" s="469"/>
      <c r="D38" s="165" t="s">
        <v>171</v>
      </c>
      <c r="E38" s="140">
        <v>0.15</v>
      </c>
      <c r="F38" s="167" t="s">
        <v>172</v>
      </c>
      <c r="G38" s="896" t="s">
        <v>183</v>
      </c>
      <c r="H38" s="137">
        <f>C7</f>
        <v>2.75E-2</v>
      </c>
      <c r="I38" s="169" t="s">
        <v>177</v>
      </c>
      <c r="J38" s="137">
        <v>1</v>
      </c>
      <c r="K38" s="137" t="s">
        <v>72</v>
      </c>
      <c r="L38" s="139" t="s">
        <v>173</v>
      </c>
      <c r="M38" s="473">
        <f>B17</f>
        <v>1492830</v>
      </c>
      <c r="N38" s="165" t="s">
        <v>175</v>
      </c>
      <c r="O38" s="138">
        <v>1040</v>
      </c>
      <c r="P38" s="165" t="s">
        <v>176</v>
      </c>
      <c r="Q38" s="30" t="s">
        <v>183</v>
      </c>
      <c r="R38" s="137">
        <f>B7</f>
        <v>5.0000000000000001E-3</v>
      </c>
      <c r="S38" s="169" t="s">
        <v>177</v>
      </c>
      <c r="T38" s="137">
        <v>1</v>
      </c>
      <c r="U38" s="137" t="s">
        <v>72</v>
      </c>
    </row>
    <row r="39" spans="1:21" x14ac:dyDescent="0.25">
      <c r="A39" s="31"/>
      <c r="B39" s="30"/>
      <c r="C39" s="31"/>
      <c r="D39" s="166" t="s">
        <v>279</v>
      </c>
      <c r="E39" s="31"/>
      <c r="F39" s="63" t="s">
        <v>71</v>
      </c>
      <c r="G39" s="896"/>
      <c r="H39" s="70"/>
      <c r="I39" s="170" t="s">
        <v>119</v>
      </c>
      <c r="J39" s="171">
        <v>2000</v>
      </c>
      <c r="K39" s="70" t="s">
        <v>118</v>
      </c>
      <c r="L39" s="31"/>
      <c r="M39" s="31"/>
      <c r="N39" s="166" t="s">
        <v>279</v>
      </c>
      <c r="O39" s="476">
        <v>1000000</v>
      </c>
      <c r="P39" s="166" t="s">
        <v>31</v>
      </c>
      <c r="Q39" s="30"/>
      <c r="R39" s="70"/>
      <c r="S39" s="170" t="s">
        <v>119</v>
      </c>
      <c r="T39" s="171">
        <v>2000</v>
      </c>
      <c r="U39" s="70" t="s">
        <v>118</v>
      </c>
    </row>
    <row r="40" spans="1:21" x14ac:dyDescent="0.25">
      <c r="A40" s="70"/>
      <c r="B40" s="70"/>
      <c r="C40" s="70"/>
      <c r="D40" s="70"/>
      <c r="E40" s="70"/>
      <c r="F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5">
      <c r="A41" s="136"/>
      <c r="B41" s="67">
        <f>(B38*E38*H38+M38*O38*R38/1000000)/2000</f>
        <v>4.0625510692500004</v>
      </c>
      <c r="C41" s="67"/>
      <c r="D41" s="70" t="s">
        <v>280</v>
      </c>
      <c r="E41" s="136" t="s">
        <v>69</v>
      </c>
      <c r="F41" s="55">
        <f>B41*(2000/8760)</f>
        <v>0.92752307517123289</v>
      </c>
      <c r="G41" s="70" t="s">
        <v>161</v>
      </c>
      <c r="L41" s="70" t="s">
        <v>161</v>
      </c>
      <c r="N41" s="70"/>
      <c r="O41" s="70"/>
      <c r="P41" s="70"/>
      <c r="Q41" s="70"/>
      <c r="R41" s="70"/>
      <c r="S41" s="70"/>
      <c r="T41" s="70"/>
      <c r="U41" s="70"/>
    </row>
    <row r="42" spans="1:21" x14ac:dyDescent="0.25">
      <c r="A42" s="136"/>
      <c r="B42" s="67"/>
      <c r="C42" s="67"/>
      <c r="D42" s="70"/>
      <c r="E42" s="136"/>
      <c r="F42" s="55"/>
      <c r="L42" s="70"/>
      <c r="N42" s="70"/>
      <c r="O42" s="70"/>
      <c r="P42" s="70"/>
      <c r="Q42" s="70"/>
      <c r="R42" s="70"/>
      <c r="S42" s="70"/>
      <c r="T42" s="70"/>
      <c r="U42" s="70"/>
    </row>
    <row r="43" spans="1:21" x14ac:dyDescent="0.25">
      <c r="A43" s="136"/>
      <c r="B43" s="67"/>
      <c r="C43" s="67"/>
      <c r="D43" s="70"/>
      <c r="E43" s="136"/>
      <c r="F43" s="55"/>
      <c r="L43" s="70"/>
      <c r="N43" s="70"/>
      <c r="O43" s="70"/>
      <c r="P43" s="70"/>
      <c r="Q43" s="70"/>
      <c r="R43" s="70"/>
      <c r="S43" s="70"/>
      <c r="T43" s="70"/>
      <c r="U43" s="70"/>
    </row>
    <row r="44" spans="1:21" ht="15.75" x14ac:dyDescent="0.25">
      <c r="A44" s="136" t="s">
        <v>178</v>
      </c>
      <c r="B44" s="164">
        <f>B16</f>
        <v>1967839.86</v>
      </c>
      <c r="C44" s="469"/>
      <c r="D44" s="165" t="s">
        <v>171</v>
      </c>
      <c r="E44" s="140">
        <v>0.15</v>
      </c>
      <c r="F44" s="167" t="s">
        <v>172</v>
      </c>
      <c r="G44" s="896" t="s">
        <v>183</v>
      </c>
      <c r="H44" s="137">
        <f>C8</f>
        <v>0.04</v>
      </c>
      <c r="I44" s="169" t="s">
        <v>177</v>
      </c>
      <c r="J44" s="137">
        <v>1</v>
      </c>
      <c r="K44" s="137" t="s">
        <v>72</v>
      </c>
      <c r="L44" s="139" t="s">
        <v>173</v>
      </c>
      <c r="M44" s="473">
        <f>B17</f>
        <v>1492830</v>
      </c>
      <c r="N44" s="165" t="s">
        <v>175</v>
      </c>
      <c r="O44" s="138">
        <v>1040</v>
      </c>
      <c r="P44" s="165" t="s">
        <v>176</v>
      </c>
      <c r="Q44" s="30" t="s">
        <v>183</v>
      </c>
      <c r="R44" s="137">
        <f>B8</f>
        <v>8.0999999999999996E-3</v>
      </c>
      <c r="S44" s="169" t="s">
        <v>177</v>
      </c>
      <c r="T44" s="137">
        <v>1</v>
      </c>
      <c r="U44" s="137" t="s">
        <v>72</v>
      </c>
    </row>
    <row r="45" spans="1:21" x14ac:dyDescent="0.25">
      <c r="A45" s="31"/>
      <c r="B45" s="30"/>
      <c r="C45" s="31"/>
      <c r="D45" s="166" t="s">
        <v>279</v>
      </c>
      <c r="E45" s="31"/>
      <c r="F45" s="63" t="s">
        <v>71</v>
      </c>
      <c r="G45" s="896"/>
      <c r="H45" s="70"/>
      <c r="I45" s="170" t="s">
        <v>119</v>
      </c>
      <c r="J45" s="171">
        <v>2000</v>
      </c>
      <c r="K45" s="70" t="s">
        <v>118</v>
      </c>
      <c r="L45" s="31"/>
      <c r="M45" s="31"/>
      <c r="N45" s="166" t="s">
        <v>279</v>
      </c>
      <c r="O45" s="476">
        <v>1000000</v>
      </c>
      <c r="P45" s="166" t="s">
        <v>31</v>
      </c>
      <c r="Q45" s="30"/>
      <c r="R45" s="70"/>
      <c r="S45" s="170" t="s">
        <v>119</v>
      </c>
      <c r="T45" s="171">
        <v>2000</v>
      </c>
      <c r="U45" s="70" t="s">
        <v>118</v>
      </c>
    </row>
    <row r="46" spans="1:21" x14ac:dyDescent="0.25">
      <c r="A46" s="70"/>
      <c r="B46" s="70"/>
      <c r="C46" s="70"/>
      <c r="D46" s="70"/>
      <c r="E46" s="70"/>
      <c r="F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x14ac:dyDescent="0.25">
      <c r="A47" s="136"/>
      <c r="B47" s="67">
        <f>(B44*E44*H44+M44*O44*R44/1000000)/2000</f>
        <v>5.9098073799599993</v>
      </c>
      <c r="C47" s="67"/>
      <c r="D47" s="70" t="s">
        <v>280</v>
      </c>
      <c r="E47" s="136" t="s">
        <v>69</v>
      </c>
      <c r="F47" s="55">
        <f>B47*(2000/8760)</f>
        <v>1.3492710913150683</v>
      </c>
      <c r="G47" s="70" t="s">
        <v>161</v>
      </c>
      <c r="L47" s="70" t="s">
        <v>161</v>
      </c>
      <c r="N47" s="70"/>
      <c r="O47" s="70"/>
      <c r="P47" s="70"/>
      <c r="Q47" s="70"/>
      <c r="R47" s="70"/>
      <c r="S47" s="70"/>
      <c r="T47" s="70"/>
      <c r="U47" s="70"/>
    </row>
    <row r="48" spans="1:21" x14ac:dyDescent="0.25">
      <c r="A48" s="70"/>
      <c r="B48" s="70"/>
      <c r="C48" s="70"/>
      <c r="D48" s="70"/>
      <c r="E48" s="70"/>
      <c r="F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25">
      <c r="A49" s="70"/>
      <c r="B49" s="70"/>
      <c r="C49" s="70"/>
      <c r="D49" s="70"/>
      <c r="E49" s="70"/>
      <c r="F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5.75" x14ac:dyDescent="0.25">
      <c r="A50" s="136" t="s">
        <v>179</v>
      </c>
      <c r="B50" s="164">
        <f>B16</f>
        <v>1967839.86</v>
      </c>
      <c r="C50" s="469"/>
      <c r="D50" s="165" t="s">
        <v>171</v>
      </c>
      <c r="E50" s="140">
        <v>0.15</v>
      </c>
      <c r="F50" s="167" t="s">
        <v>172</v>
      </c>
      <c r="G50" s="896" t="s">
        <v>183</v>
      </c>
      <c r="H50" s="137">
        <f>C9</f>
        <v>3.3000000000000002E-2</v>
      </c>
      <c r="I50" s="169" t="s">
        <v>177</v>
      </c>
      <c r="J50" s="137">
        <v>1</v>
      </c>
      <c r="K50" s="137" t="s">
        <v>72</v>
      </c>
      <c r="L50" s="139" t="s">
        <v>173</v>
      </c>
      <c r="M50" s="473">
        <f>B17</f>
        <v>1492830</v>
      </c>
      <c r="N50" s="165" t="s">
        <v>175</v>
      </c>
      <c r="O50" s="138">
        <v>1040</v>
      </c>
      <c r="P50" s="165" t="s">
        <v>176</v>
      </c>
      <c r="Q50" s="30" t="s">
        <v>183</v>
      </c>
      <c r="R50" s="137">
        <f>B9</f>
        <v>7.4999999999999997E-3</v>
      </c>
      <c r="S50" s="169" t="s">
        <v>177</v>
      </c>
      <c r="T50" s="137">
        <v>1</v>
      </c>
      <c r="U50" s="137" t="s">
        <v>72</v>
      </c>
    </row>
    <row r="51" spans="1:21" x14ac:dyDescent="0.25">
      <c r="A51" s="31"/>
      <c r="B51" s="30"/>
      <c r="C51" s="31"/>
      <c r="D51" s="166" t="s">
        <v>279</v>
      </c>
      <c r="E51" s="31"/>
      <c r="F51" s="63" t="s">
        <v>71</v>
      </c>
      <c r="G51" s="896"/>
      <c r="H51" s="70"/>
      <c r="I51" s="170" t="s">
        <v>119</v>
      </c>
      <c r="J51" s="171">
        <v>2000</v>
      </c>
      <c r="K51" s="70" t="s">
        <v>118</v>
      </c>
      <c r="L51" s="31"/>
      <c r="M51" s="31"/>
      <c r="N51" s="166" t="s">
        <v>279</v>
      </c>
      <c r="O51" s="476">
        <v>1000000</v>
      </c>
      <c r="P51" s="166" t="s">
        <v>31</v>
      </c>
      <c r="Q51" s="30"/>
      <c r="R51" s="70"/>
      <c r="S51" s="170" t="s">
        <v>119</v>
      </c>
      <c r="T51" s="171">
        <v>2000</v>
      </c>
      <c r="U51" s="70" t="s">
        <v>118</v>
      </c>
    </row>
    <row r="52" spans="1:21" x14ac:dyDescent="0.25">
      <c r="A52" s="70"/>
      <c r="B52" s="70"/>
      <c r="C52" s="70"/>
      <c r="D52" s="70"/>
      <c r="E52" s="70"/>
      <c r="F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25">
      <c r="A53" s="136"/>
      <c r="B53" s="67">
        <f>(B50*E50*H50+M50*O50*R50/1000000)/2000</f>
        <v>4.8762256905000001</v>
      </c>
      <c r="C53" s="67"/>
      <c r="D53" s="70" t="s">
        <v>280</v>
      </c>
      <c r="E53" s="136" t="s">
        <v>69</v>
      </c>
      <c r="F53" s="55">
        <f>B53*(2000/8760)</f>
        <v>1.1132935366438357</v>
      </c>
      <c r="G53" s="70" t="s">
        <v>161</v>
      </c>
      <c r="L53" s="70" t="s">
        <v>161</v>
      </c>
      <c r="N53" s="70"/>
      <c r="O53" s="70"/>
      <c r="P53" s="70"/>
      <c r="Q53" s="70"/>
      <c r="R53" s="70"/>
      <c r="S53" s="70"/>
      <c r="T53" s="70"/>
      <c r="U53" s="70"/>
    </row>
    <row r="54" spans="1:21" x14ac:dyDescent="0.25">
      <c r="A54" s="70"/>
      <c r="B54" s="70"/>
      <c r="C54" s="70"/>
      <c r="D54" s="70"/>
      <c r="E54" s="70"/>
      <c r="F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25">
      <c r="A55" s="70"/>
      <c r="B55" s="70"/>
      <c r="C55" s="70"/>
      <c r="D55" s="70"/>
      <c r="E55" s="70"/>
      <c r="F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ht="15.75" x14ac:dyDescent="0.25">
      <c r="A56" s="136" t="s">
        <v>180</v>
      </c>
      <c r="B56" s="164">
        <f>B16</f>
        <v>1967839.86</v>
      </c>
      <c r="C56" s="469"/>
      <c r="D56" s="165" t="s">
        <v>171</v>
      </c>
      <c r="E56" s="140"/>
      <c r="F56" s="167"/>
      <c r="G56" s="896" t="s">
        <v>183</v>
      </c>
      <c r="H56" s="137">
        <f>(157)*B18</f>
        <v>73.789999999999992</v>
      </c>
      <c r="I56" s="169" t="s">
        <v>177</v>
      </c>
      <c r="J56" s="137">
        <v>1</v>
      </c>
      <c r="K56" s="137" t="s">
        <v>72</v>
      </c>
      <c r="L56" s="139" t="s">
        <v>173</v>
      </c>
      <c r="M56" s="473">
        <f>B17</f>
        <v>1492830</v>
      </c>
      <c r="N56" s="165" t="s">
        <v>175</v>
      </c>
      <c r="O56" s="138">
        <v>1040</v>
      </c>
      <c r="P56" s="165" t="s">
        <v>176</v>
      </c>
      <c r="Q56" s="30" t="s">
        <v>183</v>
      </c>
      <c r="R56" s="137">
        <f>B10</f>
        <v>4.0000000000000001E-3</v>
      </c>
      <c r="S56" s="169" t="s">
        <v>177</v>
      </c>
      <c r="T56" s="137">
        <v>1</v>
      </c>
      <c r="U56" s="137" t="s">
        <v>72</v>
      </c>
    </row>
    <row r="57" spans="1:21" x14ac:dyDescent="0.25">
      <c r="A57" s="31"/>
      <c r="B57" s="30"/>
      <c r="C57" s="31"/>
      <c r="D57" s="166" t="s">
        <v>279</v>
      </c>
      <c r="E57" s="31"/>
      <c r="F57" s="63"/>
      <c r="G57" s="896"/>
      <c r="H57" s="70">
        <v>1000</v>
      </c>
      <c r="I57" s="499" t="s">
        <v>323</v>
      </c>
      <c r="J57" s="171">
        <v>2000</v>
      </c>
      <c r="K57" s="70" t="s">
        <v>118</v>
      </c>
      <c r="L57" s="31"/>
      <c r="M57" s="31"/>
      <c r="N57" s="166" t="s">
        <v>279</v>
      </c>
      <c r="O57" s="476">
        <v>1000000</v>
      </c>
      <c r="P57" s="166" t="s">
        <v>31</v>
      </c>
      <c r="Q57" s="30"/>
      <c r="R57" s="70"/>
      <c r="S57" s="170" t="s">
        <v>119</v>
      </c>
      <c r="T57" s="171">
        <v>2000</v>
      </c>
      <c r="U57" s="70" t="s">
        <v>118</v>
      </c>
    </row>
    <row r="58" spans="1:21" x14ac:dyDescent="0.25">
      <c r="A58" s="70"/>
      <c r="B58" s="70"/>
      <c r="C58" s="70"/>
      <c r="D58" s="70"/>
      <c r="E58" s="70"/>
      <c r="F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25">
      <c r="A59" s="136"/>
      <c r="B59" s="67">
        <f>(B56*H56/H57+M56*O56*R56/1000000)/2000</f>
        <v>72.606556721100006</v>
      </c>
      <c r="C59" s="67"/>
      <c r="D59" s="70" t="s">
        <v>280</v>
      </c>
      <c r="E59" s="136" t="s">
        <v>69</v>
      </c>
      <c r="F59" s="55">
        <f>B59*(2000/8760)</f>
        <v>16.576839434041098</v>
      </c>
      <c r="G59" s="70" t="s">
        <v>161</v>
      </c>
      <c r="L59" s="70" t="s">
        <v>161</v>
      </c>
      <c r="N59" s="70"/>
      <c r="O59" s="70"/>
      <c r="P59" s="70"/>
      <c r="Q59" s="70"/>
      <c r="R59" s="70"/>
      <c r="S59" s="70"/>
      <c r="T59" s="70"/>
      <c r="U59" s="70"/>
    </row>
    <row r="60" spans="1:21" x14ac:dyDescent="0.25">
      <c r="A60" s="70"/>
      <c r="B60" s="70"/>
      <c r="C60" s="70"/>
      <c r="D60" s="70"/>
      <c r="E60" s="70"/>
      <c r="F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25">
      <c r="A61" s="70"/>
      <c r="B61" s="70"/>
      <c r="C61" s="70"/>
      <c r="D61" s="70"/>
      <c r="E61" s="70"/>
      <c r="F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ht="15.75" x14ac:dyDescent="0.25">
      <c r="A62" s="136" t="s">
        <v>181</v>
      </c>
      <c r="B62" s="164">
        <f>B16</f>
        <v>1967839.86</v>
      </c>
      <c r="C62" s="469"/>
      <c r="D62" s="165" t="s">
        <v>171</v>
      </c>
      <c r="E62" s="140">
        <v>0.15</v>
      </c>
      <c r="F62" s="167" t="s">
        <v>172</v>
      </c>
      <c r="G62" s="896" t="s">
        <v>183</v>
      </c>
      <c r="H62" s="137">
        <f>C11</f>
        <v>2.2589999999999999E-2</v>
      </c>
      <c r="I62" s="169" t="s">
        <v>177</v>
      </c>
      <c r="J62" s="137">
        <v>1</v>
      </c>
      <c r="K62" s="137" t="s">
        <v>72</v>
      </c>
      <c r="L62" s="139" t="s">
        <v>173</v>
      </c>
      <c r="M62" s="473">
        <f>B17</f>
        <v>1492830</v>
      </c>
      <c r="N62" s="165" t="s">
        <v>175</v>
      </c>
      <c r="O62" s="138">
        <v>1040</v>
      </c>
      <c r="P62" s="165" t="s">
        <v>176</v>
      </c>
      <c r="Q62" s="30" t="s">
        <v>183</v>
      </c>
      <c r="R62" s="137">
        <f>B11</f>
        <v>4.2999999999999999E-4</v>
      </c>
      <c r="S62" s="169" t="s">
        <v>177</v>
      </c>
      <c r="T62" s="137">
        <v>1</v>
      </c>
      <c r="U62" s="137" t="s">
        <v>72</v>
      </c>
    </row>
    <row r="63" spans="1:21" x14ac:dyDescent="0.25">
      <c r="A63" s="31"/>
      <c r="B63" s="30"/>
      <c r="C63" s="31"/>
      <c r="D63" s="166" t="s">
        <v>279</v>
      </c>
      <c r="E63" s="31"/>
      <c r="F63" s="63" t="s">
        <v>71</v>
      </c>
      <c r="G63" s="896"/>
      <c r="H63" s="70"/>
      <c r="I63" s="170" t="s">
        <v>119</v>
      </c>
      <c r="J63" s="171">
        <v>2000</v>
      </c>
      <c r="K63" s="70" t="s">
        <v>118</v>
      </c>
      <c r="L63" s="31"/>
      <c r="M63" s="31"/>
      <c r="N63" s="166" t="s">
        <v>279</v>
      </c>
      <c r="O63" s="476">
        <v>1000000</v>
      </c>
      <c r="P63" s="166" t="s">
        <v>31</v>
      </c>
      <c r="Q63" s="30"/>
      <c r="R63" s="70"/>
      <c r="S63" s="170" t="s">
        <v>119</v>
      </c>
      <c r="T63" s="171">
        <v>2000</v>
      </c>
      <c r="U63" s="70" t="s">
        <v>118</v>
      </c>
    </row>
    <row r="64" spans="1:21" x14ac:dyDescent="0.25">
      <c r="A64" s="70"/>
      <c r="B64" s="70"/>
      <c r="C64" s="70"/>
      <c r="D64" s="70"/>
      <c r="E64" s="70"/>
      <c r="F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x14ac:dyDescent="0.25">
      <c r="A65" s="136"/>
      <c r="B65" s="67">
        <f>(B62*E62*H62+M62*O62*R62/1000000)/2000</f>
        <v>3.334346479593</v>
      </c>
      <c r="C65" s="67"/>
      <c r="D65" s="70" t="s">
        <v>280</v>
      </c>
      <c r="E65" s="136" t="s">
        <v>69</v>
      </c>
      <c r="F65" s="55">
        <f>B65*(2000/8760)</f>
        <v>0.76126631954178081</v>
      </c>
      <c r="G65" s="70" t="s">
        <v>161</v>
      </c>
      <c r="L65" s="70" t="s">
        <v>161</v>
      </c>
      <c r="N65" s="70"/>
      <c r="O65" s="70"/>
      <c r="P65" s="70"/>
      <c r="Q65" s="70"/>
      <c r="R65" s="70"/>
      <c r="S65" s="70"/>
      <c r="T65" s="70"/>
      <c r="U65" s="70"/>
    </row>
    <row r="66" spans="1:21" x14ac:dyDescent="0.25">
      <c r="A66" s="70"/>
      <c r="B66" s="70"/>
      <c r="C66" s="70"/>
      <c r="D66" s="70"/>
      <c r="E66" s="70"/>
      <c r="F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x14ac:dyDescent="0.25">
      <c r="A67" s="70"/>
      <c r="B67" s="70"/>
      <c r="C67" s="70"/>
      <c r="D67" s="70"/>
      <c r="E67" s="70"/>
      <c r="F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x14ac:dyDescent="0.25">
      <c r="A68" s="136" t="s">
        <v>165</v>
      </c>
      <c r="B68" s="164">
        <f>B16</f>
        <v>1967839.86</v>
      </c>
      <c r="C68" s="469"/>
      <c r="D68" s="165" t="s">
        <v>171</v>
      </c>
      <c r="E68" s="140">
        <v>0.15</v>
      </c>
      <c r="F68" s="167" t="s">
        <v>172</v>
      </c>
      <c r="G68" s="896" t="s">
        <v>183</v>
      </c>
      <c r="H68" s="477">
        <f>C12</f>
        <v>4.6299999999999997E-6</v>
      </c>
      <c r="I68" s="169" t="s">
        <v>177</v>
      </c>
      <c r="J68" s="137">
        <v>1</v>
      </c>
      <c r="K68" s="137" t="s">
        <v>72</v>
      </c>
      <c r="L68" s="139" t="s">
        <v>173</v>
      </c>
      <c r="M68" s="473">
        <f>B17</f>
        <v>1492830</v>
      </c>
      <c r="N68" s="165" t="s">
        <v>175</v>
      </c>
      <c r="O68" s="138">
        <v>1040</v>
      </c>
      <c r="P68" s="165" t="s">
        <v>176</v>
      </c>
      <c r="Q68" s="30" t="s">
        <v>183</v>
      </c>
      <c r="R68" s="137">
        <f>B12</f>
        <v>0</v>
      </c>
      <c r="S68" s="169" t="s">
        <v>177</v>
      </c>
      <c r="T68" s="137">
        <v>1</v>
      </c>
      <c r="U68" s="137" t="s">
        <v>72</v>
      </c>
    </row>
    <row r="69" spans="1:21" x14ac:dyDescent="0.25">
      <c r="A69" s="31"/>
      <c r="B69" s="30"/>
      <c r="C69" s="31"/>
      <c r="D69" s="166" t="s">
        <v>279</v>
      </c>
      <c r="E69" s="31"/>
      <c r="F69" s="63" t="s">
        <v>71</v>
      </c>
      <c r="G69" s="896"/>
      <c r="H69" s="70"/>
      <c r="I69" s="170" t="s">
        <v>119</v>
      </c>
      <c r="J69" s="171">
        <v>2000</v>
      </c>
      <c r="K69" s="70" t="s">
        <v>118</v>
      </c>
      <c r="L69" s="31"/>
      <c r="M69" s="31"/>
      <c r="N69" s="166" t="s">
        <v>279</v>
      </c>
      <c r="O69" s="476">
        <v>1000000</v>
      </c>
      <c r="P69" s="166" t="s">
        <v>31</v>
      </c>
      <c r="Q69" s="30"/>
      <c r="R69" s="70"/>
      <c r="S69" s="170" t="s">
        <v>119</v>
      </c>
      <c r="T69" s="171">
        <v>2000</v>
      </c>
      <c r="U69" s="70" t="s">
        <v>118</v>
      </c>
    </row>
    <row r="70" spans="1:2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21" x14ac:dyDescent="0.25">
      <c r="A71" s="136"/>
      <c r="B71" s="67">
        <f>(B68*E68*H68+M68*O68*R68/1000000)/2000</f>
        <v>6.8333239138499986E-4</v>
      </c>
      <c r="C71" s="67"/>
      <c r="D71" s="70" t="s">
        <v>280</v>
      </c>
      <c r="E71" s="136" t="s">
        <v>69</v>
      </c>
      <c r="F71" s="55">
        <f>B71*(2000/8760)</f>
        <v>1.5601196150342463E-4</v>
      </c>
      <c r="G71" s="70" t="s">
        <v>161</v>
      </c>
      <c r="I71" s="70"/>
      <c r="J71" s="70"/>
      <c r="K71" s="70"/>
      <c r="L71" s="70"/>
      <c r="M71" s="70"/>
      <c r="N71" s="70"/>
      <c r="O71" s="70"/>
      <c r="P71" s="70"/>
    </row>
    <row r="74" spans="1:21" x14ac:dyDescent="0.25">
      <c r="A74" s="502" t="s">
        <v>332</v>
      </c>
      <c r="B74" s="164">
        <f>B16</f>
        <v>1967839.86</v>
      </c>
      <c r="C74" s="469"/>
      <c r="D74" s="165" t="s">
        <v>171</v>
      </c>
      <c r="E74" s="503">
        <f>W11</f>
        <v>24.807530298581618</v>
      </c>
      <c r="F74" s="504" t="s">
        <v>118</v>
      </c>
      <c r="G74" s="896" t="s">
        <v>183</v>
      </c>
      <c r="H74" s="137">
        <v>1</v>
      </c>
      <c r="I74" s="137" t="s">
        <v>72</v>
      </c>
      <c r="J74" s="139" t="s">
        <v>173</v>
      </c>
      <c r="M74" s="473">
        <f>B17</f>
        <v>1492830</v>
      </c>
      <c r="N74" s="165" t="s">
        <v>175</v>
      </c>
      <c r="O74" s="506">
        <f>W12</f>
        <v>0.12049378268189943</v>
      </c>
      <c r="P74" s="507" t="s">
        <v>118</v>
      </c>
      <c r="Q74" s="30" t="s">
        <v>183</v>
      </c>
      <c r="R74" s="137">
        <v>1</v>
      </c>
      <c r="S74" s="137" t="s">
        <v>72</v>
      </c>
    </row>
    <row r="75" spans="1:21" x14ac:dyDescent="0.25">
      <c r="A75" s="31"/>
      <c r="B75" s="30"/>
      <c r="C75" s="31"/>
      <c r="D75" s="166" t="s">
        <v>279</v>
      </c>
      <c r="E75" s="31"/>
      <c r="F75" s="505" t="s">
        <v>71</v>
      </c>
      <c r="G75" s="896"/>
      <c r="H75" s="171">
        <v>2000</v>
      </c>
      <c r="I75" s="70" t="s">
        <v>118</v>
      </c>
      <c r="J75" s="31"/>
      <c r="M75" s="31"/>
      <c r="N75" s="166" t="s">
        <v>279</v>
      </c>
      <c r="O75" s="476"/>
      <c r="P75" s="166" t="s">
        <v>31</v>
      </c>
      <c r="Q75" s="30"/>
      <c r="R75" s="171">
        <v>2000</v>
      </c>
      <c r="S75" s="70" t="s">
        <v>118</v>
      </c>
    </row>
    <row r="76" spans="1:21" x14ac:dyDescent="0.25">
      <c r="A76" s="70"/>
      <c r="B76" s="70"/>
      <c r="C76" s="70"/>
      <c r="D76" s="70"/>
      <c r="E76" s="70"/>
      <c r="F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 x14ac:dyDescent="0.25">
      <c r="A77" s="136"/>
      <c r="B77" s="67">
        <f>(B74*E74+M74*O74)/H75</f>
        <v>24498.561841653816</v>
      </c>
      <c r="C77" s="67"/>
      <c r="D77" s="70" t="s">
        <v>280</v>
      </c>
      <c r="E77" s="136" t="s">
        <v>69</v>
      </c>
      <c r="F77" s="55">
        <f>B77*(2000/8760)</f>
        <v>5593.2789592816926</v>
      </c>
      <c r="G77" s="70" t="s">
        <v>161</v>
      </c>
      <c r="L77" s="70"/>
      <c r="N77" s="70"/>
      <c r="O77" s="70"/>
      <c r="P77" s="70"/>
      <c r="Q77" s="70"/>
      <c r="R77" s="70"/>
      <c r="S77" s="70"/>
      <c r="T77" s="70"/>
      <c r="U77" s="70"/>
    </row>
    <row r="78" spans="1:21" x14ac:dyDescent="0.25">
      <c r="A78" s="70"/>
      <c r="B78" s="70"/>
      <c r="C78" s="70"/>
      <c r="D78" s="70"/>
      <c r="E78" s="70"/>
      <c r="F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 x14ac:dyDescent="0.25">
      <c r="A79" s="70"/>
      <c r="B79" s="70"/>
      <c r="C79" s="70"/>
      <c r="D79" s="70"/>
      <c r="E79" s="70"/>
      <c r="F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x14ac:dyDescent="0.25">
      <c r="A80" s="24"/>
      <c r="B80" s="62" t="s">
        <v>166</v>
      </c>
      <c r="C80" s="62"/>
      <c r="D80" s="62"/>
      <c r="E80" s="62"/>
      <c r="F80" s="62"/>
      <c r="G80" s="62"/>
      <c r="H80" s="62"/>
      <c r="I80" s="62"/>
      <c r="J80" s="62"/>
      <c r="K80" s="24"/>
      <c r="L80" s="24"/>
      <c r="M80" s="24"/>
      <c r="N80" s="24"/>
      <c r="O80" s="24"/>
      <c r="P80" s="24"/>
    </row>
    <row r="81" spans="2:10" x14ac:dyDescent="0.25">
      <c r="B81" s="62" t="s">
        <v>167</v>
      </c>
      <c r="C81" s="62"/>
      <c r="D81" s="62"/>
      <c r="E81" s="62"/>
      <c r="F81" s="62"/>
      <c r="G81" s="62"/>
      <c r="H81" s="62"/>
      <c r="I81" s="62"/>
      <c r="J81" s="62"/>
    </row>
    <row r="82" spans="2:10" x14ac:dyDescent="0.25">
      <c r="B82" s="62" t="s">
        <v>168</v>
      </c>
      <c r="C82" s="62"/>
      <c r="D82" s="62"/>
      <c r="E82" s="62"/>
      <c r="F82" s="62"/>
      <c r="G82" s="62"/>
      <c r="H82" s="62"/>
      <c r="I82" s="62"/>
      <c r="J82" s="62"/>
    </row>
    <row r="83" spans="2:10" x14ac:dyDescent="0.25">
      <c r="B83" s="62" t="s">
        <v>287</v>
      </c>
      <c r="C83" s="62"/>
      <c r="D83" s="24"/>
      <c r="E83" s="24"/>
      <c r="F83" s="24"/>
      <c r="G83" s="24"/>
      <c r="H83" s="24"/>
      <c r="I83" s="24"/>
      <c r="J83" s="24"/>
    </row>
  </sheetData>
  <mergeCells count="13">
    <mergeCell ref="A1:P1"/>
    <mergeCell ref="F6:N6"/>
    <mergeCell ref="Q20:Q21"/>
    <mergeCell ref="G20:G21"/>
    <mergeCell ref="G26:G27"/>
    <mergeCell ref="G74:G75"/>
    <mergeCell ref="G62:G63"/>
    <mergeCell ref="G68:G69"/>
    <mergeCell ref="G32:G33"/>
    <mergeCell ref="G38:G39"/>
    <mergeCell ref="G44:G45"/>
    <mergeCell ref="G50:G51"/>
    <mergeCell ref="G56:G57"/>
  </mergeCells>
  <pageMargins left="0.7" right="0.7" top="0.75" bottom="0.75" header="0.3" footer="0.3"/>
  <pageSetup scale="6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X83"/>
  <sheetViews>
    <sheetView workbookViewId="0">
      <selection activeCell="J15" sqref="J15"/>
    </sheetView>
  </sheetViews>
  <sheetFormatPr defaultRowHeight="15" x14ac:dyDescent="0.25"/>
  <cols>
    <col min="1" max="2" width="18.28515625" customWidth="1"/>
    <col min="3" max="3" width="16.5703125" customWidth="1"/>
    <col min="4" max="4" width="12.42578125" customWidth="1"/>
    <col min="5" max="5" width="11.5703125" customWidth="1"/>
    <col min="6" max="6" width="13.5703125" customWidth="1"/>
    <col min="7" max="7" width="4.85546875" customWidth="1"/>
    <col min="8" max="8" width="8.42578125" bestFit="1" customWidth="1"/>
    <col min="9" max="9" width="8.28515625" bestFit="1" customWidth="1"/>
    <col min="10" max="10" width="5.5703125" bestFit="1" customWidth="1"/>
    <col min="11" max="11" width="3.42578125" bestFit="1" customWidth="1"/>
    <col min="12" max="12" width="4.5703125" bestFit="1" customWidth="1"/>
    <col min="13" max="13" width="12.7109375" bestFit="1" customWidth="1"/>
    <col min="14" max="14" width="8.5703125" bestFit="1" customWidth="1"/>
    <col min="15" max="15" width="9.140625" bestFit="1" customWidth="1"/>
    <col min="16" max="16" width="8.28515625" bestFit="1" customWidth="1"/>
    <col min="17" max="17" width="1.7109375" bestFit="1" customWidth="1"/>
    <col min="18" max="18" width="8" bestFit="1" customWidth="1"/>
    <col min="19" max="19" width="8.28515625" bestFit="1" customWidth="1"/>
    <col min="20" max="20" width="5.5703125" bestFit="1" customWidth="1"/>
    <col min="21" max="21" width="3.42578125" bestFit="1" customWidth="1"/>
  </cols>
  <sheetData>
    <row r="1" spans="1:24" x14ac:dyDescent="0.25">
      <c r="A1" s="900" t="s">
        <v>404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</row>
    <row r="2" spans="1:24" ht="15.75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4" ht="45.95" customHeight="1" thickBot="1" x14ac:dyDescent="0.3">
      <c r="A3" s="152" t="s">
        <v>159</v>
      </c>
      <c r="B3" s="151" t="s">
        <v>269</v>
      </c>
      <c r="C3" s="151" t="s">
        <v>270</v>
      </c>
      <c r="D3" s="150" t="s">
        <v>274</v>
      </c>
      <c r="E3" s="150" t="s">
        <v>174</v>
      </c>
      <c r="M3" s="70"/>
      <c r="N3" s="70"/>
      <c r="O3" s="70"/>
      <c r="P3" s="70"/>
    </row>
    <row r="4" spans="1:24" x14ac:dyDescent="0.25">
      <c r="A4" s="149" t="s">
        <v>57</v>
      </c>
      <c r="B4" s="148">
        <v>0.35</v>
      </c>
      <c r="C4" s="148">
        <v>0.35</v>
      </c>
      <c r="D4" s="34">
        <f>B23</f>
        <v>340.14564321499995</v>
      </c>
      <c r="E4" s="91">
        <f>F23</f>
        <v>77.658822651826469</v>
      </c>
      <c r="J4" s="55"/>
      <c r="K4" s="142"/>
      <c r="L4" s="142"/>
      <c r="M4" s="70"/>
      <c r="N4" s="70"/>
      <c r="O4" s="70"/>
      <c r="P4" s="70"/>
    </row>
    <row r="5" spans="1:24" x14ac:dyDescent="0.25">
      <c r="A5" s="146" t="s">
        <v>61</v>
      </c>
      <c r="B5" s="145">
        <v>8.9999999999999993E-3</v>
      </c>
      <c r="C5" s="467">
        <v>3.8E-3</v>
      </c>
      <c r="D5" s="144">
        <f>B29</f>
        <v>5.6721104882999995</v>
      </c>
      <c r="E5" s="143">
        <f>F29</f>
        <v>1.295002394589041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24" x14ac:dyDescent="0.25">
      <c r="A6" s="146" t="s">
        <v>59</v>
      </c>
      <c r="B6" s="145">
        <v>8.0000000000000004E-4</v>
      </c>
      <c r="C6" s="145">
        <v>1.2999999999999999E-3</v>
      </c>
      <c r="D6" s="144">
        <f>B35</f>
        <v>1.0730999641700001</v>
      </c>
      <c r="E6" s="143">
        <f>F35</f>
        <v>0.24499999181963472</v>
      </c>
      <c r="F6" s="901" t="s">
        <v>169</v>
      </c>
      <c r="G6" s="902"/>
      <c r="H6" s="902"/>
      <c r="I6" s="902"/>
      <c r="J6" s="902"/>
      <c r="K6" s="902"/>
      <c r="L6" s="902"/>
      <c r="M6" s="902"/>
      <c r="N6" s="902"/>
      <c r="O6" s="161"/>
      <c r="P6" s="161"/>
    </row>
    <row r="7" spans="1:24" x14ac:dyDescent="0.25">
      <c r="A7" s="146" t="s">
        <v>54</v>
      </c>
      <c r="B7" s="145">
        <v>5.0000000000000001E-3</v>
      </c>
      <c r="C7" s="467">
        <v>2.75E-2</v>
      </c>
      <c r="D7" s="144">
        <f>B41</f>
        <v>18.162312845749998</v>
      </c>
      <c r="E7" s="143">
        <f>F41</f>
        <v>4.1466467684360726</v>
      </c>
      <c r="F7" s="160" t="s">
        <v>275</v>
      </c>
      <c r="G7" s="141" t="s">
        <v>276</v>
      </c>
      <c r="I7" s="141"/>
      <c r="J7" s="141"/>
      <c r="K7" s="141"/>
      <c r="L7" s="141"/>
      <c r="M7" s="141"/>
      <c r="N7" s="141"/>
      <c r="O7" s="141"/>
      <c r="P7" s="141"/>
    </row>
    <row r="8" spans="1:24" x14ac:dyDescent="0.25">
      <c r="A8" s="146" t="s">
        <v>113</v>
      </c>
      <c r="B8" s="145">
        <v>8.0999999999999996E-3</v>
      </c>
      <c r="C8" s="467">
        <v>0.04</v>
      </c>
      <c r="D8" s="144">
        <f>B47</f>
        <v>26.732766515039998</v>
      </c>
      <c r="E8" s="147">
        <f>F47</f>
        <v>6.1033713504657525</v>
      </c>
      <c r="F8" s="157"/>
      <c r="G8" s="141" t="s">
        <v>277</v>
      </c>
      <c r="H8" s="141"/>
      <c r="I8" s="141"/>
      <c r="J8" s="141"/>
      <c r="K8" s="141"/>
      <c r="L8" s="141"/>
      <c r="M8" s="141"/>
      <c r="N8" s="141"/>
      <c r="O8" s="141"/>
    </row>
    <row r="9" spans="1:24" x14ac:dyDescent="0.25">
      <c r="A9" s="146" t="s">
        <v>155</v>
      </c>
      <c r="B9" s="145">
        <v>7.4999999999999997E-3</v>
      </c>
      <c r="C9" s="467">
        <v>3.3000000000000002E-2</v>
      </c>
      <c r="D9" s="144">
        <f>B53</f>
        <v>22.365669832499997</v>
      </c>
      <c r="E9" s="143">
        <f>F53</f>
        <v>5.106317313356163</v>
      </c>
      <c r="F9" s="31"/>
      <c r="G9" s="141" t="s">
        <v>160</v>
      </c>
      <c r="H9" s="141"/>
      <c r="I9" s="141"/>
      <c r="J9" s="141"/>
      <c r="K9" s="141"/>
      <c r="L9" s="141"/>
      <c r="M9" s="141"/>
      <c r="N9" s="141"/>
      <c r="O9" s="141"/>
    </row>
    <row r="10" spans="1:24" x14ac:dyDescent="0.25">
      <c r="A10" s="146" t="s">
        <v>141</v>
      </c>
      <c r="B10" s="145">
        <v>4.0000000000000001E-3</v>
      </c>
      <c r="C10" s="484" t="s">
        <v>325</v>
      </c>
      <c r="D10" s="144">
        <f>B59</f>
        <v>292.37718947050001</v>
      </c>
      <c r="E10" s="143">
        <f>F59</f>
        <v>66.752782984132423</v>
      </c>
      <c r="F10" s="31"/>
      <c r="G10" s="31"/>
      <c r="H10" s="157"/>
      <c r="I10" s="157"/>
      <c r="J10" s="157"/>
      <c r="K10" s="157"/>
      <c r="L10" s="157"/>
      <c r="M10" s="157"/>
      <c r="N10" s="157"/>
      <c r="O10" s="157"/>
      <c r="P10" s="157"/>
    </row>
    <row r="11" spans="1:24" x14ac:dyDescent="0.25">
      <c r="A11" s="146" t="s">
        <v>114</v>
      </c>
      <c r="B11" s="145">
        <v>4.2999999999999999E-4</v>
      </c>
      <c r="C11" s="467">
        <v>2.2589999999999999E-2</v>
      </c>
      <c r="D11" s="144">
        <f>B65</f>
        <v>13.519958128446996</v>
      </c>
      <c r="E11" s="143">
        <f>F65</f>
        <v>3.0867484311522819</v>
      </c>
      <c r="F11" s="163" t="s">
        <v>170</v>
      </c>
      <c r="G11" s="141" t="s">
        <v>278</v>
      </c>
      <c r="H11" s="141"/>
      <c r="I11" s="141"/>
      <c r="J11" s="141"/>
      <c r="K11" s="141"/>
      <c r="L11" s="141"/>
      <c r="N11" s="157"/>
      <c r="O11" s="157"/>
      <c r="P11" s="157"/>
      <c r="V11" t="s">
        <v>328</v>
      </c>
      <c r="W11">
        <f>(2039612.73+81.84*25+16.37*298)*2204.6/181872012</f>
        <v>24.807530298581618</v>
      </c>
      <c r="X11" t="s">
        <v>329</v>
      </c>
    </row>
    <row r="12" spans="1:24" x14ac:dyDescent="0.25">
      <c r="A12" s="146" t="s">
        <v>63</v>
      </c>
      <c r="B12" s="145">
        <v>0</v>
      </c>
      <c r="C12" s="471">
        <v>4.6299999999999997E-6</v>
      </c>
      <c r="D12" s="144">
        <f>B71</f>
        <v>2.7374801683949994E-3</v>
      </c>
      <c r="E12" s="143">
        <f>F71</f>
        <v>6.2499547223630121E-4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W12">
        <f>(989989.8+466.4+556)*2204.62/18132099995</f>
        <v>0.12049378268189943</v>
      </c>
      <c r="X12" t="s">
        <v>330</v>
      </c>
    </row>
    <row r="13" spans="1:24" x14ac:dyDescent="0.25">
      <c r="A13" s="500" t="s">
        <v>328</v>
      </c>
      <c r="B13" s="543" t="s">
        <v>358</v>
      </c>
      <c r="C13" s="501" t="s">
        <v>331</v>
      </c>
      <c r="D13" s="508">
        <f>B77</f>
        <v>141878.41227836561</v>
      </c>
      <c r="E13" s="509">
        <f>F77</f>
        <v>32392.331570403105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4" ht="15.75" thickBot="1" x14ac:dyDescent="0.3">
      <c r="A14" s="153" t="s">
        <v>156</v>
      </c>
      <c r="B14" s="154">
        <v>0</v>
      </c>
      <c r="C14" s="468">
        <v>0</v>
      </c>
      <c r="D14" s="155">
        <v>0</v>
      </c>
      <c r="E14" s="156"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24" x14ac:dyDescent="0.25">
      <c r="A15" s="158"/>
      <c r="B15" s="158"/>
      <c r="C15" s="158"/>
      <c r="D15" s="158"/>
      <c r="E15" s="55"/>
      <c r="H15" s="70"/>
      <c r="I15" s="70"/>
      <c r="J15" s="70"/>
      <c r="K15" s="70"/>
      <c r="L15" s="70"/>
      <c r="M15" s="70"/>
      <c r="N15" s="70"/>
      <c r="O15" s="70"/>
      <c r="P15" s="70"/>
    </row>
    <row r="16" spans="1:24" x14ac:dyDescent="0.25">
      <c r="A16" s="329" t="s">
        <v>357</v>
      </c>
      <c r="B16" s="159">
        <f>'Costa Sur'!E6</f>
        <v>7883312.2199999997</v>
      </c>
      <c r="C16" s="159"/>
      <c r="D16" s="470" t="s">
        <v>268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21" x14ac:dyDescent="0.25">
      <c r="A17" s="330" t="s">
        <v>351</v>
      </c>
      <c r="B17" s="162">
        <f>'Costa Sur'!C43</f>
        <v>731915920</v>
      </c>
      <c r="C17" s="162"/>
      <c r="D17" s="472" t="s">
        <v>271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21" x14ac:dyDescent="0.25">
      <c r="A18" s="194" t="s">
        <v>288</v>
      </c>
      <c r="B18" s="193">
        <f>'Costa Sur'!I6</f>
        <v>0.47</v>
      </c>
      <c r="D18" t="s">
        <v>127</v>
      </c>
      <c r="M18" s="70"/>
      <c r="N18" s="70"/>
      <c r="O18" s="70"/>
      <c r="P18" s="70"/>
    </row>
    <row r="19" spans="1:2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21" ht="15.75" x14ac:dyDescent="0.25">
      <c r="A20" s="136" t="s">
        <v>182</v>
      </c>
      <c r="B20" s="164">
        <f>B16</f>
        <v>7883312.2199999997</v>
      </c>
      <c r="C20" s="469"/>
      <c r="D20" s="165" t="s">
        <v>171</v>
      </c>
      <c r="E20" s="140">
        <v>0.15</v>
      </c>
      <c r="F20" s="167" t="s">
        <v>172</v>
      </c>
      <c r="G20" s="896" t="s">
        <v>183</v>
      </c>
      <c r="H20" s="137">
        <f>C4</f>
        <v>0.35</v>
      </c>
      <c r="I20" s="169" t="s">
        <v>177</v>
      </c>
      <c r="J20" s="137">
        <v>1</v>
      </c>
      <c r="K20" s="137" t="s">
        <v>72</v>
      </c>
      <c r="L20" s="139" t="s">
        <v>173</v>
      </c>
      <c r="M20" s="473">
        <f>B17</f>
        <v>731915920</v>
      </c>
      <c r="N20" s="167" t="s">
        <v>175</v>
      </c>
      <c r="O20" s="164">
        <v>1040</v>
      </c>
      <c r="P20" s="165" t="s">
        <v>176</v>
      </c>
      <c r="Q20" s="896" t="s">
        <v>183</v>
      </c>
      <c r="R20" s="137">
        <f>B4</f>
        <v>0.35</v>
      </c>
      <c r="S20" s="169" t="s">
        <v>177</v>
      </c>
      <c r="T20" s="137">
        <v>1</v>
      </c>
      <c r="U20" s="137" t="s">
        <v>72</v>
      </c>
    </row>
    <row r="21" spans="1:21" x14ac:dyDescent="0.25">
      <c r="A21" s="31"/>
      <c r="B21" s="30"/>
      <c r="C21" s="31"/>
      <c r="D21" s="475" t="s">
        <v>279</v>
      </c>
      <c r="E21" s="31"/>
      <c r="F21" s="63" t="s">
        <v>71</v>
      </c>
      <c r="G21" s="896"/>
      <c r="H21" s="70"/>
      <c r="I21" s="170" t="s">
        <v>119</v>
      </c>
      <c r="J21" s="171">
        <v>2000</v>
      </c>
      <c r="K21" s="70" t="s">
        <v>118</v>
      </c>
      <c r="L21" s="31"/>
      <c r="M21" s="31"/>
      <c r="N21" s="63" t="s">
        <v>279</v>
      </c>
      <c r="O21" s="474">
        <v>1000000</v>
      </c>
      <c r="P21" s="166" t="s">
        <v>31</v>
      </c>
      <c r="Q21" s="896"/>
      <c r="R21" s="70"/>
      <c r="S21" s="170" t="s">
        <v>119</v>
      </c>
      <c r="T21" s="171">
        <v>2000</v>
      </c>
      <c r="U21" s="70" t="s">
        <v>118</v>
      </c>
    </row>
    <row r="22" spans="1:2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1" x14ac:dyDescent="0.25">
      <c r="A23" s="136"/>
      <c r="B23" s="67">
        <f>(B20*E20*H20+M20*O20*R20/1000000)/2000</f>
        <v>340.14564321499995</v>
      </c>
      <c r="C23" s="67"/>
      <c r="D23" s="70" t="s">
        <v>280</v>
      </c>
      <c r="E23" s="136" t="s">
        <v>69</v>
      </c>
      <c r="F23" s="55">
        <f>B23*(2000/8760)</f>
        <v>77.658822651826469</v>
      </c>
      <c r="G23" s="70" t="s">
        <v>161</v>
      </c>
      <c r="H23" s="22"/>
      <c r="I23" s="70"/>
      <c r="J23" s="70"/>
      <c r="K23" s="70"/>
      <c r="L23" s="70"/>
      <c r="M23" s="70"/>
      <c r="N23" s="70"/>
      <c r="O23" s="70"/>
      <c r="P23" s="70"/>
    </row>
    <row r="24" spans="1:21" x14ac:dyDescent="0.25">
      <c r="A24" s="70"/>
      <c r="B24" s="70"/>
      <c r="C24" s="70"/>
      <c r="D24" s="70"/>
      <c r="E24" s="70"/>
      <c r="F24" s="70"/>
      <c r="G24" s="70"/>
      <c r="H24" s="69"/>
      <c r="I24" s="69"/>
      <c r="J24" s="69"/>
      <c r="K24" s="70"/>
      <c r="L24" s="70"/>
      <c r="M24" s="70"/>
      <c r="N24" s="70"/>
      <c r="O24" s="70"/>
      <c r="P24" s="70"/>
    </row>
    <row r="25" spans="1:2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25">
      <c r="A26" s="136" t="s">
        <v>162</v>
      </c>
      <c r="B26" s="164">
        <f>B16</f>
        <v>7883312.2199999997</v>
      </c>
      <c r="C26" s="469"/>
      <c r="D26" s="165" t="s">
        <v>171</v>
      </c>
      <c r="E26" s="140">
        <v>0.15</v>
      </c>
      <c r="F26" s="167" t="s">
        <v>172</v>
      </c>
      <c r="G26" s="896" t="s">
        <v>183</v>
      </c>
      <c r="H26" s="137">
        <f>C5</f>
        <v>3.8E-3</v>
      </c>
      <c r="I26" s="169" t="s">
        <v>177</v>
      </c>
      <c r="J26" s="137">
        <v>1</v>
      </c>
      <c r="K26" s="137" t="s">
        <v>72</v>
      </c>
      <c r="L26" s="139" t="s">
        <v>173</v>
      </c>
      <c r="M26" s="473">
        <f>B17</f>
        <v>731915920</v>
      </c>
      <c r="N26" s="165" t="s">
        <v>175</v>
      </c>
      <c r="O26" s="138">
        <v>1040</v>
      </c>
      <c r="P26" s="165" t="s">
        <v>176</v>
      </c>
      <c r="Q26" s="30" t="s">
        <v>183</v>
      </c>
      <c r="R26" s="137">
        <f>B5</f>
        <v>8.9999999999999993E-3</v>
      </c>
      <c r="S26" s="169" t="s">
        <v>177</v>
      </c>
      <c r="T26" s="168">
        <v>1</v>
      </c>
      <c r="U26" s="137" t="s">
        <v>72</v>
      </c>
    </row>
    <row r="27" spans="1:21" x14ac:dyDescent="0.25">
      <c r="A27" s="31"/>
      <c r="B27" s="30"/>
      <c r="C27" s="31"/>
      <c r="D27" s="166" t="s">
        <v>279</v>
      </c>
      <c r="E27" s="31"/>
      <c r="F27" s="172" t="s">
        <v>71</v>
      </c>
      <c r="G27" s="896"/>
      <c r="H27" s="70"/>
      <c r="I27" s="170" t="s">
        <v>119</v>
      </c>
      <c r="J27" s="171">
        <v>2000</v>
      </c>
      <c r="K27" s="70" t="s">
        <v>118</v>
      </c>
      <c r="L27" s="31"/>
      <c r="M27" s="31"/>
      <c r="N27" s="166" t="s">
        <v>279</v>
      </c>
      <c r="O27" s="476">
        <v>1000000</v>
      </c>
      <c r="P27" s="166" t="s">
        <v>31</v>
      </c>
      <c r="Q27" s="30"/>
      <c r="R27" s="70"/>
      <c r="S27" s="170" t="s">
        <v>119</v>
      </c>
      <c r="T27" s="173">
        <v>2000</v>
      </c>
      <c r="U27" s="70" t="s">
        <v>118</v>
      </c>
    </row>
    <row r="28" spans="1:2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1" x14ac:dyDescent="0.25">
      <c r="A29" s="136"/>
      <c r="B29" s="67">
        <f>(B26*E26*H26+M26*O26*R26/1000000)/2000</f>
        <v>5.6721104882999995</v>
      </c>
      <c r="C29" s="67"/>
      <c r="D29" s="70" t="s">
        <v>280</v>
      </c>
      <c r="E29" s="136" t="s">
        <v>69</v>
      </c>
      <c r="F29" s="55">
        <f>B29*(2000/8760)</f>
        <v>1.295002394589041</v>
      </c>
      <c r="G29" s="70" t="s">
        <v>161</v>
      </c>
      <c r="I29" s="70"/>
      <c r="J29" s="70"/>
      <c r="K29" s="70"/>
      <c r="L29" s="70"/>
      <c r="M29" s="70"/>
      <c r="N29" s="70"/>
      <c r="O29" s="70"/>
      <c r="P29" s="70"/>
    </row>
    <row r="30" spans="1:2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1" x14ac:dyDescent="0.25">
      <c r="A32" s="136" t="s">
        <v>163</v>
      </c>
      <c r="B32" s="164">
        <f>B16</f>
        <v>7883312.2199999997</v>
      </c>
      <c r="C32" s="469"/>
      <c r="D32" s="165" t="s">
        <v>171</v>
      </c>
      <c r="E32" s="140">
        <v>0.15</v>
      </c>
      <c r="F32" s="167" t="s">
        <v>172</v>
      </c>
      <c r="G32" s="896" t="s">
        <v>183</v>
      </c>
      <c r="H32" s="137">
        <f>C6</f>
        <v>1.2999999999999999E-3</v>
      </c>
      <c r="I32" s="169" t="s">
        <v>177</v>
      </c>
      <c r="J32" s="137">
        <v>1</v>
      </c>
      <c r="K32" s="137" t="s">
        <v>72</v>
      </c>
      <c r="L32" s="139" t="s">
        <v>173</v>
      </c>
      <c r="M32" s="473">
        <f>B17</f>
        <v>731915920</v>
      </c>
      <c r="N32" s="165" t="s">
        <v>175</v>
      </c>
      <c r="O32" s="138">
        <v>1040</v>
      </c>
      <c r="P32" s="165" t="s">
        <v>176</v>
      </c>
      <c r="Q32" s="30" t="s">
        <v>183</v>
      </c>
      <c r="R32" s="137">
        <f>B6</f>
        <v>8.0000000000000004E-4</v>
      </c>
      <c r="S32" s="169" t="s">
        <v>177</v>
      </c>
      <c r="T32" s="137">
        <v>1</v>
      </c>
      <c r="U32" s="137" t="s">
        <v>72</v>
      </c>
    </row>
    <row r="33" spans="1:21" x14ac:dyDescent="0.25">
      <c r="A33" s="31"/>
      <c r="B33" s="30"/>
      <c r="C33" s="31"/>
      <c r="D33" s="166" t="s">
        <v>279</v>
      </c>
      <c r="E33" s="31"/>
      <c r="F33" s="63" t="s">
        <v>71</v>
      </c>
      <c r="G33" s="896"/>
      <c r="H33" s="70"/>
      <c r="I33" s="170" t="s">
        <v>119</v>
      </c>
      <c r="J33" s="171">
        <v>2000</v>
      </c>
      <c r="K33" s="70" t="s">
        <v>118</v>
      </c>
      <c r="L33" s="31"/>
      <c r="M33" s="31"/>
      <c r="N33" s="166" t="s">
        <v>279</v>
      </c>
      <c r="O33" s="476">
        <v>1000000</v>
      </c>
      <c r="P33" s="166" t="s">
        <v>31</v>
      </c>
      <c r="Q33" s="30"/>
      <c r="R33" s="70"/>
      <c r="S33" s="170" t="s">
        <v>119</v>
      </c>
      <c r="T33" s="171">
        <v>2000</v>
      </c>
      <c r="U33" s="70" t="s">
        <v>118</v>
      </c>
    </row>
    <row r="34" spans="1:2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21" x14ac:dyDescent="0.25">
      <c r="A35" s="136"/>
      <c r="B35" s="67">
        <f>(B32*E32*H32+M32*O32*R32/1000000)/2000</f>
        <v>1.0730999641700001</v>
      </c>
      <c r="C35" s="67"/>
      <c r="D35" s="70" t="s">
        <v>280</v>
      </c>
      <c r="E35" s="136" t="s">
        <v>69</v>
      </c>
      <c r="F35" s="55">
        <f>B35*(2000/8760)</f>
        <v>0.24499999181963472</v>
      </c>
      <c r="G35" s="70" t="s">
        <v>161</v>
      </c>
      <c r="I35" s="70"/>
      <c r="J35" s="70"/>
      <c r="K35" s="70"/>
      <c r="L35" s="70"/>
      <c r="M35" s="70"/>
      <c r="N35" s="70"/>
      <c r="O35" s="70"/>
      <c r="P35" s="70"/>
    </row>
    <row r="36" spans="1:2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2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21" x14ac:dyDescent="0.25">
      <c r="A38" s="136" t="s">
        <v>164</v>
      </c>
      <c r="B38" s="164">
        <f>B16</f>
        <v>7883312.2199999997</v>
      </c>
      <c r="C38" s="469"/>
      <c r="D38" s="165" t="s">
        <v>171</v>
      </c>
      <c r="E38" s="140">
        <v>0.15</v>
      </c>
      <c r="F38" s="167" t="s">
        <v>172</v>
      </c>
      <c r="G38" s="896" t="s">
        <v>183</v>
      </c>
      <c r="H38" s="137">
        <f>C7</f>
        <v>2.75E-2</v>
      </c>
      <c r="I38" s="169" t="s">
        <v>177</v>
      </c>
      <c r="J38" s="137">
        <v>1</v>
      </c>
      <c r="K38" s="137" t="s">
        <v>72</v>
      </c>
      <c r="L38" s="139" t="s">
        <v>173</v>
      </c>
      <c r="M38" s="473">
        <f>B17</f>
        <v>731915920</v>
      </c>
      <c r="N38" s="165" t="s">
        <v>175</v>
      </c>
      <c r="O38" s="138">
        <v>1040</v>
      </c>
      <c r="P38" s="165" t="s">
        <v>176</v>
      </c>
      <c r="Q38" s="30" t="s">
        <v>183</v>
      </c>
      <c r="R38" s="137">
        <f>B7</f>
        <v>5.0000000000000001E-3</v>
      </c>
      <c r="S38" s="169" t="s">
        <v>177</v>
      </c>
      <c r="T38" s="137">
        <v>1</v>
      </c>
      <c r="U38" s="137" t="s">
        <v>72</v>
      </c>
    </row>
    <row r="39" spans="1:21" x14ac:dyDescent="0.25">
      <c r="A39" s="31"/>
      <c r="B39" s="30"/>
      <c r="C39" s="31"/>
      <c r="D39" s="166" t="s">
        <v>279</v>
      </c>
      <c r="E39" s="31"/>
      <c r="F39" s="63" t="s">
        <v>71</v>
      </c>
      <c r="G39" s="896"/>
      <c r="H39" s="70"/>
      <c r="I39" s="170" t="s">
        <v>119</v>
      </c>
      <c r="J39" s="171">
        <v>2000</v>
      </c>
      <c r="K39" s="70" t="s">
        <v>118</v>
      </c>
      <c r="L39" s="31"/>
      <c r="M39" s="31"/>
      <c r="N39" s="166" t="s">
        <v>279</v>
      </c>
      <c r="O39" s="476">
        <v>1000000</v>
      </c>
      <c r="P39" s="166" t="s">
        <v>31</v>
      </c>
      <c r="Q39" s="30"/>
      <c r="R39" s="70"/>
      <c r="S39" s="170" t="s">
        <v>119</v>
      </c>
      <c r="T39" s="171">
        <v>2000</v>
      </c>
      <c r="U39" s="70" t="s">
        <v>118</v>
      </c>
    </row>
    <row r="40" spans="1:21" x14ac:dyDescent="0.25">
      <c r="A40" s="70"/>
      <c r="B40" s="70"/>
      <c r="C40" s="70"/>
      <c r="D40" s="70"/>
      <c r="E40" s="70"/>
      <c r="F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5">
      <c r="A41" s="136"/>
      <c r="B41" s="67">
        <f>(B38*E38*H38+M38*O38*R38/1000000)/2000</f>
        <v>18.162312845749998</v>
      </c>
      <c r="C41" s="67"/>
      <c r="D41" s="70" t="s">
        <v>280</v>
      </c>
      <c r="E41" s="136" t="s">
        <v>69</v>
      </c>
      <c r="F41" s="55">
        <f>B41*(2000/8760)</f>
        <v>4.1466467684360726</v>
      </c>
      <c r="G41" s="70" t="s">
        <v>161</v>
      </c>
      <c r="L41" s="70" t="s">
        <v>161</v>
      </c>
      <c r="N41" s="70"/>
      <c r="O41" s="70"/>
      <c r="P41" s="70"/>
      <c r="Q41" s="70"/>
      <c r="R41" s="70"/>
      <c r="S41" s="70"/>
      <c r="T41" s="70"/>
      <c r="U41" s="70"/>
    </row>
    <row r="42" spans="1:21" x14ac:dyDescent="0.25">
      <c r="A42" s="136"/>
      <c r="B42" s="67"/>
      <c r="C42" s="67"/>
      <c r="D42" s="70"/>
      <c r="E42" s="136"/>
      <c r="F42" s="55"/>
      <c r="L42" s="70"/>
      <c r="N42" s="70"/>
      <c r="O42" s="70"/>
      <c r="P42" s="70"/>
      <c r="Q42" s="70"/>
      <c r="R42" s="70"/>
      <c r="S42" s="70"/>
      <c r="T42" s="70"/>
      <c r="U42" s="70"/>
    </row>
    <row r="43" spans="1:21" x14ac:dyDescent="0.25">
      <c r="A43" s="136"/>
      <c r="B43" s="67"/>
      <c r="C43" s="67"/>
      <c r="D43" s="70"/>
      <c r="E43" s="136"/>
      <c r="F43" s="55"/>
      <c r="L43" s="70"/>
      <c r="N43" s="70"/>
      <c r="O43" s="70"/>
      <c r="P43" s="70"/>
      <c r="Q43" s="70"/>
      <c r="R43" s="70"/>
      <c r="S43" s="70"/>
      <c r="T43" s="70"/>
      <c r="U43" s="70"/>
    </row>
    <row r="44" spans="1:21" ht="15.75" x14ac:dyDescent="0.25">
      <c r="A44" s="136" t="s">
        <v>178</v>
      </c>
      <c r="B44" s="164">
        <f>B16</f>
        <v>7883312.2199999997</v>
      </c>
      <c r="C44" s="469"/>
      <c r="D44" s="165" t="s">
        <v>171</v>
      </c>
      <c r="E44" s="140">
        <v>0.15</v>
      </c>
      <c r="F44" s="167" t="s">
        <v>172</v>
      </c>
      <c r="G44" s="896" t="s">
        <v>183</v>
      </c>
      <c r="H44" s="137">
        <f>C8</f>
        <v>0.04</v>
      </c>
      <c r="I44" s="169" t="s">
        <v>177</v>
      </c>
      <c r="J44" s="137">
        <v>1</v>
      </c>
      <c r="K44" s="137" t="s">
        <v>72</v>
      </c>
      <c r="L44" s="139" t="s">
        <v>173</v>
      </c>
      <c r="M44" s="473">
        <f>B17</f>
        <v>731915920</v>
      </c>
      <c r="N44" s="165" t="s">
        <v>175</v>
      </c>
      <c r="O44" s="138">
        <v>1040</v>
      </c>
      <c r="P44" s="165" t="s">
        <v>176</v>
      </c>
      <c r="Q44" s="30" t="s">
        <v>183</v>
      </c>
      <c r="R44" s="137">
        <f>B8</f>
        <v>8.0999999999999996E-3</v>
      </c>
      <c r="S44" s="169" t="s">
        <v>177</v>
      </c>
      <c r="T44" s="137">
        <v>1</v>
      </c>
      <c r="U44" s="137" t="s">
        <v>72</v>
      </c>
    </row>
    <row r="45" spans="1:21" x14ac:dyDescent="0.25">
      <c r="A45" s="31"/>
      <c r="B45" s="30"/>
      <c r="C45" s="31"/>
      <c r="D45" s="166" t="s">
        <v>279</v>
      </c>
      <c r="E45" s="31"/>
      <c r="F45" s="63" t="s">
        <v>71</v>
      </c>
      <c r="G45" s="896"/>
      <c r="H45" s="70"/>
      <c r="I45" s="170" t="s">
        <v>119</v>
      </c>
      <c r="J45" s="171">
        <v>2000</v>
      </c>
      <c r="K45" s="70" t="s">
        <v>118</v>
      </c>
      <c r="L45" s="31"/>
      <c r="M45" s="31"/>
      <c r="N45" s="166" t="s">
        <v>279</v>
      </c>
      <c r="O45" s="476">
        <v>1000000</v>
      </c>
      <c r="P45" s="166" t="s">
        <v>31</v>
      </c>
      <c r="Q45" s="30"/>
      <c r="R45" s="70"/>
      <c r="S45" s="170" t="s">
        <v>119</v>
      </c>
      <c r="T45" s="171">
        <v>2000</v>
      </c>
      <c r="U45" s="70" t="s">
        <v>118</v>
      </c>
    </row>
    <row r="46" spans="1:21" x14ac:dyDescent="0.25">
      <c r="A46" s="70"/>
      <c r="B46" s="70"/>
      <c r="C46" s="70"/>
      <c r="D46" s="70"/>
      <c r="E46" s="70"/>
      <c r="F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x14ac:dyDescent="0.25">
      <c r="A47" s="136"/>
      <c r="B47" s="67">
        <f>(B44*E44*H44+M44*O44*R44/1000000)/2000</f>
        <v>26.732766515039998</v>
      </c>
      <c r="C47" s="67"/>
      <c r="D47" s="70" t="s">
        <v>280</v>
      </c>
      <c r="E47" s="136" t="s">
        <v>69</v>
      </c>
      <c r="F47" s="55">
        <f>B47*(2000/8760)</f>
        <v>6.1033713504657525</v>
      </c>
      <c r="G47" s="70" t="s">
        <v>161</v>
      </c>
      <c r="L47" s="70" t="s">
        <v>161</v>
      </c>
      <c r="N47" s="70"/>
      <c r="O47" s="70"/>
      <c r="P47" s="70"/>
      <c r="Q47" s="70"/>
      <c r="R47" s="70"/>
      <c r="S47" s="70"/>
      <c r="T47" s="70"/>
      <c r="U47" s="70"/>
    </row>
    <row r="48" spans="1:21" x14ac:dyDescent="0.25">
      <c r="A48" s="70"/>
      <c r="B48" s="70"/>
      <c r="C48" s="70"/>
      <c r="D48" s="70"/>
      <c r="E48" s="70"/>
      <c r="F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25">
      <c r="A49" s="70"/>
      <c r="B49" s="70"/>
      <c r="C49" s="70"/>
      <c r="D49" s="70"/>
      <c r="E49" s="70"/>
      <c r="F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5.75" x14ac:dyDescent="0.25">
      <c r="A50" s="136" t="s">
        <v>179</v>
      </c>
      <c r="B50" s="164">
        <f>B16</f>
        <v>7883312.2199999997</v>
      </c>
      <c r="C50" s="469"/>
      <c r="D50" s="165" t="s">
        <v>171</v>
      </c>
      <c r="E50" s="140">
        <v>0.15</v>
      </c>
      <c r="F50" s="167" t="s">
        <v>172</v>
      </c>
      <c r="G50" s="896" t="s">
        <v>183</v>
      </c>
      <c r="H50" s="137">
        <f>C9</f>
        <v>3.3000000000000002E-2</v>
      </c>
      <c r="I50" s="169" t="s">
        <v>177</v>
      </c>
      <c r="J50" s="137">
        <v>1</v>
      </c>
      <c r="K50" s="137" t="s">
        <v>72</v>
      </c>
      <c r="L50" s="139" t="s">
        <v>173</v>
      </c>
      <c r="M50" s="473">
        <f>B17</f>
        <v>731915920</v>
      </c>
      <c r="N50" s="165" t="s">
        <v>175</v>
      </c>
      <c r="O50" s="138">
        <v>1040</v>
      </c>
      <c r="P50" s="165" t="s">
        <v>176</v>
      </c>
      <c r="Q50" s="30" t="s">
        <v>183</v>
      </c>
      <c r="R50" s="137">
        <f>B9</f>
        <v>7.4999999999999997E-3</v>
      </c>
      <c r="S50" s="169" t="s">
        <v>177</v>
      </c>
      <c r="T50" s="137">
        <v>1</v>
      </c>
      <c r="U50" s="137" t="s">
        <v>72</v>
      </c>
    </row>
    <row r="51" spans="1:21" x14ac:dyDescent="0.25">
      <c r="A51" s="31"/>
      <c r="B51" s="30"/>
      <c r="C51" s="31"/>
      <c r="D51" s="166" t="s">
        <v>279</v>
      </c>
      <c r="E51" s="31"/>
      <c r="F51" s="63" t="s">
        <v>71</v>
      </c>
      <c r="G51" s="896"/>
      <c r="H51" s="70"/>
      <c r="I51" s="170" t="s">
        <v>119</v>
      </c>
      <c r="J51" s="171">
        <v>2000</v>
      </c>
      <c r="K51" s="70" t="s">
        <v>118</v>
      </c>
      <c r="L51" s="31"/>
      <c r="M51" s="31"/>
      <c r="N51" s="166" t="s">
        <v>279</v>
      </c>
      <c r="O51" s="476">
        <v>1000000</v>
      </c>
      <c r="P51" s="166" t="s">
        <v>31</v>
      </c>
      <c r="Q51" s="30"/>
      <c r="R51" s="70"/>
      <c r="S51" s="170" t="s">
        <v>119</v>
      </c>
      <c r="T51" s="171">
        <v>2000</v>
      </c>
      <c r="U51" s="70" t="s">
        <v>118</v>
      </c>
    </row>
    <row r="52" spans="1:21" x14ac:dyDescent="0.25">
      <c r="A52" s="70"/>
      <c r="B52" s="70"/>
      <c r="C52" s="70"/>
      <c r="D52" s="70"/>
      <c r="E52" s="70"/>
      <c r="F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25">
      <c r="A53" s="136"/>
      <c r="B53" s="67">
        <f>(B50*E50*H50+M50*O50*R50/1000000)/2000</f>
        <v>22.365669832499997</v>
      </c>
      <c r="C53" s="67"/>
      <c r="D53" s="70" t="s">
        <v>280</v>
      </c>
      <c r="E53" s="136" t="s">
        <v>69</v>
      </c>
      <c r="F53" s="55">
        <f>B53*(2000/8760)</f>
        <v>5.106317313356163</v>
      </c>
      <c r="G53" s="70" t="s">
        <v>161</v>
      </c>
      <c r="L53" s="70" t="s">
        <v>161</v>
      </c>
      <c r="N53" s="70"/>
      <c r="O53" s="70"/>
      <c r="P53" s="70"/>
      <c r="Q53" s="70"/>
      <c r="R53" s="70"/>
      <c r="S53" s="70"/>
      <c r="T53" s="70"/>
      <c r="U53" s="70"/>
    </row>
    <row r="54" spans="1:21" x14ac:dyDescent="0.25">
      <c r="A54" s="70"/>
      <c r="B54" s="70"/>
      <c r="C54" s="70"/>
      <c r="D54" s="70"/>
      <c r="E54" s="70"/>
      <c r="F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25">
      <c r="A55" s="70"/>
      <c r="B55" s="70"/>
      <c r="C55" s="70"/>
      <c r="D55" s="70"/>
      <c r="E55" s="70"/>
      <c r="F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ht="15.75" x14ac:dyDescent="0.25">
      <c r="A56" s="136" t="s">
        <v>180</v>
      </c>
      <c r="B56" s="164">
        <f>B16</f>
        <v>7883312.2199999997</v>
      </c>
      <c r="C56" s="469"/>
      <c r="D56" s="165" t="s">
        <v>171</v>
      </c>
      <c r="E56" s="140"/>
      <c r="F56" s="167"/>
      <c r="G56" s="896" t="s">
        <v>183</v>
      </c>
      <c r="H56" s="137">
        <f>(157)*B18</f>
        <v>73.789999999999992</v>
      </c>
      <c r="I56" s="169" t="s">
        <v>177</v>
      </c>
      <c r="J56" s="137">
        <v>1</v>
      </c>
      <c r="K56" s="137" t="s">
        <v>72</v>
      </c>
      <c r="L56" s="139" t="s">
        <v>173</v>
      </c>
      <c r="M56" s="473">
        <f>B17</f>
        <v>731915920</v>
      </c>
      <c r="N56" s="165" t="s">
        <v>175</v>
      </c>
      <c r="O56" s="138">
        <v>1040</v>
      </c>
      <c r="P56" s="165" t="s">
        <v>176</v>
      </c>
      <c r="Q56" s="30" t="s">
        <v>183</v>
      </c>
      <c r="R56" s="137">
        <f>B10</f>
        <v>4.0000000000000001E-3</v>
      </c>
      <c r="S56" s="169" t="s">
        <v>177</v>
      </c>
      <c r="T56" s="137">
        <v>1</v>
      </c>
      <c r="U56" s="137" t="s">
        <v>72</v>
      </c>
    </row>
    <row r="57" spans="1:21" x14ac:dyDescent="0.25">
      <c r="A57" s="31"/>
      <c r="B57" s="30"/>
      <c r="C57" s="31"/>
      <c r="D57" s="166" t="s">
        <v>279</v>
      </c>
      <c r="E57" s="31"/>
      <c r="F57" s="63"/>
      <c r="G57" s="896"/>
      <c r="H57" s="70">
        <v>1000</v>
      </c>
      <c r="I57" s="499" t="s">
        <v>323</v>
      </c>
      <c r="J57" s="171">
        <v>2000</v>
      </c>
      <c r="K57" s="70" t="s">
        <v>118</v>
      </c>
      <c r="L57" s="31"/>
      <c r="M57" s="31"/>
      <c r="N57" s="166" t="s">
        <v>279</v>
      </c>
      <c r="O57" s="476">
        <v>1000000</v>
      </c>
      <c r="P57" s="166" t="s">
        <v>31</v>
      </c>
      <c r="Q57" s="30"/>
      <c r="R57" s="70"/>
      <c r="S57" s="170" t="s">
        <v>119</v>
      </c>
      <c r="T57" s="171">
        <v>2000</v>
      </c>
      <c r="U57" s="70" t="s">
        <v>118</v>
      </c>
    </row>
    <row r="58" spans="1:21" x14ac:dyDescent="0.25">
      <c r="A58" s="70"/>
      <c r="B58" s="70"/>
      <c r="C58" s="70"/>
      <c r="D58" s="70"/>
      <c r="E58" s="70"/>
      <c r="F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25">
      <c r="A59" s="136"/>
      <c r="B59" s="67">
        <f>(B56*H56/H57+M56*O56*R56/1000000)/2000</f>
        <v>292.37718947050001</v>
      </c>
      <c r="C59" s="67"/>
      <c r="D59" s="70" t="s">
        <v>280</v>
      </c>
      <c r="E59" s="136" t="s">
        <v>69</v>
      </c>
      <c r="F59" s="55">
        <f>B59*(2000/8760)</f>
        <v>66.752782984132423</v>
      </c>
      <c r="G59" s="70" t="s">
        <v>161</v>
      </c>
      <c r="L59" s="70" t="s">
        <v>161</v>
      </c>
      <c r="N59" s="70"/>
      <c r="O59" s="70"/>
      <c r="P59" s="70"/>
      <c r="Q59" s="70"/>
      <c r="R59" s="70"/>
      <c r="S59" s="70"/>
      <c r="T59" s="70"/>
      <c r="U59" s="70"/>
    </row>
    <row r="60" spans="1:21" x14ac:dyDescent="0.25">
      <c r="A60" s="70"/>
      <c r="B60" s="70"/>
      <c r="C60" s="70"/>
      <c r="D60" s="70"/>
      <c r="E60" s="70"/>
      <c r="F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25">
      <c r="A61" s="70"/>
      <c r="B61" s="70"/>
      <c r="C61" s="70"/>
      <c r="D61" s="70"/>
      <c r="E61" s="70"/>
      <c r="F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ht="15.75" x14ac:dyDescent="0.25">
      <c r="A62" s="136" t="s">
        <v>181</v>
      </c>
      <c r="B62" s="164">
        <f>B16</f>
        <v>7883312.2199999997</v>
      </c>
      <c r="C62" s="469"/>
      <c r="D62" s="165" t="s">
        <v>171</v>
      </c>
      <c r="E62" s="140">
        <v>0.15</v>
      </c>
      <c r="F62" s="167" t="s">
        <v>172</v>
      </c>
      <c r="G62" s="896" t="s">
        <v>183</v>
      </c>
      <c r="H62" s="137">
        <f>C11</f>
        <v>2.2589999999999999E-2</v>
      </c>
      <c r="I62" s="169" t="s">
        <v>177</v>
      </c>
      <c r="J62" s="137">
        <v>1</v>
      </c>
      <c r="K62" s="137" t="s">
        <v>72</v>
      </c>
      <c r="L62" s="139" t="s">
        <v>173</v>
      </c>
      <c r="M62" s="473">
        <f>B17</f>
        <v>731915920</v>
      </c>
      <c r="N62" s="165" t="s">
        <v>175</v>
      </c>
      <c r="O62" s="138">
        <v>1040</v>
      </c>
      <c r="P62" s="165" t="s">
        <v>176</v>
      </c>
      <c r="Q62" s="30" t="s">
        <v>183</v>
      </c>
      <c r="R62" s="137">
        <f>B11</f>
        <v>4.2999999999999999E-4</v>
      </c>
      <c r="S62" s="169" t="s">
        <v>177</v>
      </c>
      <c r="T62" s="137">
        <v>1</v>
      </c>
      <c r="U62" s="137" t="s">
        <v>72</v>
      </c>
    </row>
    <row r="63" spans="1:21" x14ac:dyDescent="0.25">
      <c r="A63" s="31"/>
      <c r="B63" s="30"/>
      <c r="C63" s="31"/>
      <c r="D63" s="166" t="s">
        <v>279</v>
      </c>
      <c r="E63" s="31"/>
      <c r="F63" s="63" t="s">
        <v>71</v>
      </c>
      <c r="G63" s="896"/>
      <c r="H63" s="70"/>
      <c r="I63" s="170" t="s">
        <v>119</v>
      </c>
      <c r="J63" s="171">
        <v>2000</v>
      </c>
      <c r="K63" s="70" t="s">
        <v>118</v>
      </c>
      <c r="L63" s="31"/>
      <c r="M63" s="31"/>
      <c r="N63" s="166" t="s">
        <v>279</v>
      </c>
      <c r="O63" s="476">
        <v>1000000</v>
      </c>
      <c r="P63" s="166" t="s">
        <v>31</v>
      </c>
      <c r="Q63" s="30"/>
      <c r="R63" s="70"/>
      <c r="S63" s="170" t="s">
        <v>119</v>
      </c>
      <c r="T63" s="171">
        <v>2000</v>
      </c>
      <c r="U63" s="70" t="s">
        <v>118</v>
      </c>
    </row>
    <row r="64" spans="1:21" x14ac:dyDescent="0.25">
      <c r="A64" s="70"/>
      <c r="B64" s="70"/>
      <c r="C64" s="70"/>
      <c r="D64" s="70"/>
      <c r="E64" s="70"/>
      <c r="F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x14ac:dyDescent="0.25">
      <c r="A65" s="136"/>
      <c r="B65" s="67">
        <f>(B62*E62*H62+M62*O62*R62/1000000)/2000</f>
        <v>13.519958128446996</v>
      </c>
      <c r="C65" s="67"/>
      <c r="D65" s="70" t="s">
        <v>280</v>
      </c>
      <c r="E65" s="136" t="s">
        <v>69</v>
      </c>
      <c r="F65" s="55">
        <f>B65*(2000/8760)</f>
        <v>3.0867484311522819</v>
      </c>
      <c r="G65" s="70" t="s">
        <v>161</v>
      </c>
      <c r="L65" s="70" t="s">
        <v>161</v>
      </c>
      <c r="N65" s="70"/>
      <c r="O65" s="70"/>
      <c r="P65" s="70"/>
      <c r="Q65" s="70"/>
      <c r="R65" s="70"/>
      <c r="S65" s="70"/>
      <c r="T65" s="70"/>
      <c r="U65" s="70"/>
    </row>
    <row r="66" spans="1:21" x14ac:dyDescent="0.25">
      <c r="A66" s="70"/>
      <c r="B66" s="70"/>
      <c r="C66" s="70"/>
      <c r="D66" s="70"/>
      <c r="E66" s="70"/>
      <c r="F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x14ac:dyDescent="0.25">
      <c r="A67" s="70"/>
      <c r="B67" s="70"/>
      <c r="C67" s="70"/>
      <c r="D67" s="70"/>
      <c r="E67" s="70"/>
      <c r="F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x14ac:dyDescent="0.25">
      <c r="A68" s="136" t="s">
        <v>165</v>
      </c>
      <c r="B68" s="164">
        <f>B16</f>
        <v>7883312.2199999997</v>
      </c>
      <c r="C68" s="469"/>
      <c r="D68" s="165" t="s">
        <v>171</v>
      </c>
      <c r="E68" s="140">
        <v>0.15</v>
      </c>
      <c r="F68" s="167" t="s">
        <v>172</v>
      </c>
      <c r="G68" s="896" t="s">
        <v>183</v>
      </c>
      <c r="H68" s="477">
        <f>C12</f>
        <v>4.6299999999999997E-6</v>
      </c>
      <c r="I68" s="169" t="s">
        <v>177</v>
      </c>
      <c r="J68" s="137">
        <v>1</v>
      </c>
      <c r="K68" s="137" t="s">
        <v>72</v>
      </c>
      <c r="L68" s="139" t="s">
        <v>173</v>
      </c>
      <c r="M68" s="473">
        <f>B17</f>
        <v>731915920</v>
      </c>
      <c r="N68" s="165" t="s">
        <v>175</v>
      </c>
      <c r="O68" s="138">
        <v>1040</v>
      </c>
      <c r="P68" s="165" t="s">
        <v>176</v>
      </c>
      <c r="Q68" s="30" t="s">
        <v>183</v>
      </c>
      <c r="R68" s="137">
        <f>B12</f>
        <v>0</v>
      </c>
      <c r="S68" s="169" t="s">
        <v>177</v>
      </c>
      <c r="T68" s="137">
        <v>1</v>
      </c>
      <c r="U68" s="137" t="s">
        <v>72</v>
      </c>
    </row>
    <row r="69" spans="1:21" x14ac:dyDescent="0.25">
      <c r="A69" s="31"/>
      <c r="B69" s="30"/>
      <c r="C69" s="31"/>
      <c r="D69" s="166" t="s">
        <v>279</v>
      </c>
      <c r="E69" s="31"/>
      <c r="F69" s="63" t="s">
        <v>71</v>
      </c>
      <c r="G69" s="896"/>
      <c r="H69" s="70"/>
      <c r="I69" s="170" t="s">
        <v>119</v>
      </c>
      <c r="J69" s="171">
        <v>2000</v>
      </c>
      <c r="K69" s="70" t="s">
        <v>118</v>
      </c>
      <c r="L69" s="31"/>
      <c r="M69" s="31"/>
      <c r="N69" s="166" t="s">
        <v>279</v>
      </c>
      <c r="O69" s="476">
        <v>1000000</v>
      </c>
      <c r="P69" s="166" t="s">
        <v>31</v>
      </c>
      <c r="Q69" s="30"/>
      <c r="R69" s="70"/>
      <c r="S69" s="170" t="s">
        <v>119</v>
      </c>
      <c r="T69" s="171">
        <v>2000</v>
      </c>
      <c r="U69" s="70" t="s">
        <v>118</v>
      </c>
    </row>
    <row r="70" spans="1:2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21" x14ac:dyDescent="0.25">
      <c r="A71" s="136"/>
      <c r="B71" s="67">
        <f>(B68*E68*H68+M68*O68*R68/1000000)/2000</f>
        <v>2.7374801683949994E-3</v>
      </c>
      <c r="C71" s="67"/>
      <c r="D71" s="70" t="s">
        <v>280</v>
      </c>
      <c r="E71" s="136" t="s">
        <v>69</v>
      </c>
      <c r="F71" s="55">
        <f>B71*(2000/8760)</f>
        <v>6.2499547223630121E-4</v>
      </c>
      <c r="G71" s="70" t="s">
        <v>161</v>
      </c>
      <c r="I71" s="70"/>
      <c r="J71" s="70"/>
      <c r="K71" s="70"/>
      <c r="L71" s="70"/>
      <c r="M71" s="70"/>
      <c r="N71" s="70"/>
      <c r="O71" s="70"/>
      <c r="P71" s="70"/>
    </row>
    <row r="74" spans="1:21" x14ac:dyDescent="0.25">
      <c r="A74" s="502" t="s">
        <v>332</v>
      </c>
      <c r="B74" s="164">
        <f>B16</f>
        <v>7883312.2199999997</v>
      </c>
      <c r="C74" s="469"/>
      <c r="D74" s="165" t="s">
        <v>171</v>
      </c>
      <c r="E74" s="503">
        <f>W11</f>
        <v>24.807530298581618</v>
      </c>
      <c r="F74" s="504" t="s">
        <v>118</v>
      </c>
      <c r="G74" s="896" t="s">
        <v>183</v>
      </c>
      <c r="H74" s="137">
        <v>1</v>
      </c>
      <c r="I74" s="137" t="s">
        <v>72</v>
      </c>
      <c r="J74" s="139" t="s">
        <v>173</v>
      </c>
      <c r="M74" s="473">
        <f>B17</f>
        <v>731915920</v>
      </c>
      <c r="N74" s="165" t="s">
        <v>175</v>
      </c>
      <c r="O74" s="506">
        <f>W12</f>
        <v>0.12049378268189943</v>
      </c>
      <c r="P74" s="507" t="s">
        <v>118</v>
      </c>
      <c r="Q74" s="30" t="s">
        <v>183</v>
      </c>
      <c r="R74" s="137">
        <v>1</v>
      </c>
      <c r="S74" s="137" t="s">
        <v>72</v>
      </c>
    </row>
    <row r="75" spans="1:21" x14ac:dyDescent="0.25">
      <c r="A75" s="31"/>
      <c r="B75" s="30"/>
      <c r="C75" s="31"/>
      <c r="D75" s="166" t="s">
        <v>279</v>
      </c>
      <c r="E75" s="31"/>
      <c r="F75" s="505" t="s">
        <v>71</v>
      </c>
      <c r="G75" s="896"/>
      <c r="H75" s="171">
        <v>2000</v>
      </c>
      <c r="I75" s="70" t="s">
        <v>118</v>
      </c>
      <c r="J75" s="31"/>
      <c r="M75" s="31"/>
      <c r="N75" s="166" t="s">
        <v>279</v>
      </c>
      <c r="O75" s="476"/>
      <c r="P75" s="166" t="s">
        <v>31</v>
      </c>
      <c r="Q75" s="30"/>
      <c r="R75" s="171">
        <v>2000</v>
      </c>
      <c r="S75" s="70" t="s">
        <v>118</v>
      </c>
    </row>
    <row r="76" spans="1:21" x14ac:dyDescent="0.25">
      <c r="A76" s="70"/>
      <c r="B76" s="70"/>
      <c r="C76" s="70"/>
      <c r="D76" s="70"/>
      <c r="E76" s="70"/>
      <c r="F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 x14ac:dyDescent="0.25">
      <c r="A77" s="136"/>
      <c r="B77" s="67">
        <f>(B74*E74+M74*O74)/H75</f>
        <v>141878.41227836561</v>
      </c>
      <c r="C77" s="67"/>
      <c r="D77" s="70" t="s">
        <v>280</v>
      </c>
      <c r="E77" s="136" t="s">
        <v>69</v>
      </c>
      <c r="F77" s="55">
        <f>B77*(2000/8760)</f>
        <v>32392.331570403105</v>
      </c>
      <c r="G77" s="70" t="s">
        <v>161</v>
      </c>
      <c r="L77" s="70"/>
      <c r="N77" s="70"/>
      <c r="O77" s="70"/>
      <c r="P77" s="70"/>
      <c r="Q77" s="70"/>
      <c r="R77" s="70"/>
      <c r="S77" s="70"/>
      <c r="T77" s="70"/>
      <c r="U77" s="70"/>
    </row>
    <row r="78" spans="1:21" x14ac:dyDescent="0.25">
      <c r="A78" s="70"/>
      <c r="B78" s="70"/>
      <c r="C78" s="70"/>
      <c r="D78" s="70"/>
      <c r="E78" s="70"/>
      <c r="F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 x14ac:dyDescent="0.25">
      <c r="A79" s="70"/>
      <c r="B79" s="70"/>
      <c r="C79" s="70"/>
      <c r="D79" s="70"/>
      <c r="E79" s="70"/>
      <c r="F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x14ac:dyDescent="0.25">
      <c r="A80" s="24"/>
      <c r="B80" s="62" t="s">
        <v>166</v>
      </c>
      <c r="C80" s="62"/>
      <c r="D80" s="62"/>
      <c r="E80" s="62"/>
      <c r="F80" s="62"/>
      <c r="G80" s="62"/>
      <c r="H80" s="62"/>
      <c r="I80" s="62"/>
      <c r="J80" s="62"/>
      <c r="K80" s="24"/>
      <c r="L80" s="24"/>
      <c r="M80" s="24"/>
      <c r="N80" s="24"/>
      <c r="O80" s="24"/>
      <c r="P80" s="24"/>
    </row>
    <row r="81" spans="2:10" x14ac:dyDescent="0.25">
      <c r="B81" s="62" t="s">
        <v>167</v>
      </c>
      <c r="C81" s="62"/>
      <c r="D81" s="62"/>
      <c r="E81" s="62"/>
      <c r="F81" s="62"/>
      <c r="G81" s="62"/>
      <c r="H81" s="62"/>
      <c r="I81" s="62"/>
      <c r="J81" s="62"/>
    </row>
    <row r="82" spans="2:10" x14ac:dyDescent="0.25">
      <c r="B82" s="62" t="s">
        <v>168</v>
      </c>
      <c r="C82" s="62"/>
      <c r="D82" s="62"/>
      <c r="E82" s="62"/>
      <c r="F82" s="62"/>
      <c r="G82" s="62"/>
      <c r="H82" s="62"/>
      <c r="I82" s="62"/>
      <c r="J82" s="62"/>
    </row>
    <row r="83" spans="2:10" x14ac:dyDescent="0.25">
      <c r="B83" s="62" t="s">
        <v>287</v>
      </c>
      <c r="C83" s="62"/>
      <c r="D83" s="24"/>
      <c r="E83" s="24"/>
      <c r="F83" s="24"/>
      <c r="G83" s="24"/>
      <c r="H83" s="24"/>
      <c r="I83" s="24"/>
      <c r="J83" s="24"/>
    </row>
  </sheetData>
  <mergeCells count="13">
    <mergeCell ref="A1:P1"/>
    <mergeCell ref="F6:N6"/>
    <mergeCell ref="G20:G21"/>
    <mergeCell ref="G50:G51"/>
    <mergeCell ref="G56:G57"/>
    <mergeCell ref="G74:G75"/>
    <mergeCell ref="G62:G63"/>
    <mergeCell ref="G68:G69"/>
    <mergeCell ref="Q20:Q21"/>
    <mergeCell ref="G26:G27"/>
    <mergeCell ref="G32:G33"/>
    <mergeCell ref="G38:G39"/>
    <mergeCell ref="G44:G45"/>
  </mergeCells>
  <pageMargins left="0.7" right="0.7" top="0.75" bottom="0.75" header="0.3" footer="0.3"/>
  <pageSetup scale="74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3:D33"/>
  <sheetViews>
    <sheetView workbookViewId="0">
      <selection activeCell="D17" sqref="D17"/>
    </sheetView>
  </sheetViews>
  <sheetFormatPr defaultRowHeight="15" x14ac:dyDescent="0.25"/>
  <cols>
    <col min="1" max="1" width="17.28515625" customWidth="1"/>
    <col min="2" max="2" width="14.140625" customWidth="1"/>
    <col min="3" max="3" width="22.7109375" customWidth="1"/>
    <col min="4" max="4" width="22.28515625" customWidth="1"/>
  </cols>
  <sheetData>
    <row r="3" spans="1:4" ht="15.75" x14ac:dyDescent="0.25">
      <c r="A3" s="903" t="s">
        <v>94</v>
      </c>
      <c r="B3" s="903"/>
      <c r="C3" s="903"/>
      <c r="D3" s="903"/>
    </row>
    <row r="4" spans="1:4" ht="15.75" x14ac:dyDescent="0.25">
      <c r="A4" s="50"/>
      <c r="B4" s="24"/>
      <c r="C4" s="24"/>
      <c r="D4" s="24"/>
    </row>
    <row r="5" spans="1:4" x14ac:dyDescent="0.25">
      <c r="A5" s="899" t="s">
        <v>95</v>
      </c>
      <c r="B5" s="899"/>
      <c r="C5" s="899"/>
      <c r="D5" s="899"/>
    </row>
    <row r="6" spans="1:4" x14ac:dyDescent="0.25">
      <c r="A6" s="899" t="s">
        <v>153</v>
      </c>
      <c r="B6" s="899"/>
      <c r="C6" s="899"/>
      <c r="D6" s="899"/>
    </row>
    <row r="7" spans="1:4" x14ac:dyDescent="0.25">
      <c r="A7" s="911" t="s">
        <v>367</v>
      </c>
      <c r="B7" s="899"/>
      <c r="C7" s="899"/>
      <c r="D7" s="899"/>
    </row>
    <row r="8" spans="1:4" x14ac:dyDescent="0.25">
      <c r="A8" s="26"/>
      <c r="B8" s="26"/>
      <c r="C8" s="26"/>
      <c r="D8" s="26"/>
    </row>
    <row r="9" spans="1:4" x14ac:dyDescent="0.25">
      <c r="A9" s="898" t="s">
        <v>397</v>
      </c>
      <c r="B9" s="898"/>
      <c r="C9" s="898"/>
      <c r="D9" s="898"/>
    </row>
    <row r="10" spans="1:4" ht="16.5" thickBot="1" x14ac:dyDescent="0.3">
      <c r="A10" s="51"/>
      <c r="B10" s="24"/>
      <c r="C10" s="24"/>
      <c r="D10" s="24"/>
    </row>
    <row r="11" spans="1:4" ht="15.75" thickTop="1" x14ac:dyDescent="0.25">
      <c r="A11" s="906" t="s">
        <v>139</v>
      </c>
      <c r="B11" s="907"/>
      <c r="C11" s="131" t="s">
        <v>154</v>
      </c>
      <c r="D11" s="131" t="s">
        <v>154</v>
      </c>
    </row>
    <row r="12" spans="1:4" ht="15.75" thickBot="1" x14ac:dyDescent="0.3">
      <c r="A12" s="908"/>
      <c r="B12" s="909"/>
      <c r="C12" s="132" t="s">
        <v>281</v>
      </c>
      <c r="D12" s="132" t="s">
        <v>282</v>
      </c>
    </row>
    <row r="13" spans="1:4" ht="16.5" thickTop="1" x14ac:dyDescent="0.25">
      <c r="A13" s="904" t="s">
        <v>54</v>
      </c>
      <c r="B13" s="905"/>
      <c r="C13" s="133">
        <v>590</v>
      </c>
      <c r="D13" s="128">
        <f>'Calculos CS 3 y 4'!B22+'CS 5'!B41+'CS6'!B41+'Turbinas CS'!C23</f>
        <v>22.224863915</v>
      </c>
    </row>
    <row r="14" spans="1:4" ht="18.75" x14ac:dyDescent="0.35">
      <c r="A14" s="904" t="s">
        <v>142</v>
      </c>
      <c r="B14" s="905"/>
      <c r="C14" s="133">
        <v>1038</v>
      </c>
      <c r="D14" s="128">
        <f>'CS 5'!B47+'CS6'!B47</f>
        <v>32.642573894999998</v>
      </c>
    </row>
    <row r="15" spans="1:4" ht="18.75" x14ac:dyDescent="0.35">
      <c r="A15" s="904" t="s">
        <v>184</v>
      </c>
      <c r="B15" s="905"/>
      <c r="C15" s="133">
        <v>803</v>
      </c>
      <c r="D15" s="128">
        <f>'CS 5'!B53+'CS6'!B53</f>
        <v>27.241895522999997</v>
      </c>
    </row>
    <row r="16" spans="1:4" ht="18.75" x14ac:dyDescent="0.35">
      <c r="A16" s="910" t="s">
        <v>185</v>
      </c>
      <c r="B16" s="910"/>
      <c r="C16" s="134">
        <v>9884</v>
      </c>
      <c r="D16" s="130">
        <f>'Calculos CS 3 y 4'!B31+'CS 5'!B59+'CS6'!B59+'Turbinas CS'!C32</f>
        <v>364.98374619160001</v>
      </c>
    </row>
    <row r="17" spans="1:4" ht="18.75" x14ac:dyDescent="0.35">
      <c r="A17" s="912" t="s">
        <v>137</v>
      </c>
      <c r="B17" s="912"/>
      <c r="C17" s="129">
        <v>10521</v>
      </c>
      <c r="D17" s="130">
        <f>'Calculos CS 3 y 4'!B40+'CS 5'!B23+'CS6'!B23+'Turbinas CS'!C41</f>
        <v>392.07313459999995</v>
      </c>
    </row>
    <row r="18" spans="1:4" ht="15.75" x14ac:dyDescent="0.25">
      <c r="A18" s="912" t="s">
        <v>59</v>
      </c>
      <c r="B18" s="912"/>
      <c r="C18" s="129">
        <v>36</v>
      </c>
      <c r="D18" s="130">
        <f>'Calculos CS 3 y 4'!B55+'CS 5'!B35+'CS6'!B35+'Turbinas CS'!C50</f>
        <v>1.2655853678</v>
      </c>
    </row>
    <row r="19" spans="1:4" ht="18.75" x14ac:dyDescent="0.35">
      <c r="A19" s="912" t="s">
        <v>186</v>
      </c>
      <c r="B19" s="912"/>
      <c r="C19" s="127">
        <v>388</v>
      </c>
      <c r="D19" s="128">
        <f>'Calculos CS 3 y 4'!B66+'CS 5'!B29+'CS6'!B29+'Turbinas CS'!C59</f>
        <v>6.2399312927999997</v>
      </c>
    </row>
    <row r="20" spans="1:4" ht="18.75" x14ac:dyDescent="0.35">
      <c r="A20" s="904" t="s">
        <v>187</v>
      </c>
      <c r="B20" s="905"/>
      <c r="C20" s="133">
        <v>469</v>
      </c>
      <c r="D20" s="128">
        <f>'CS 5'!B65+'CS6'!B65</f>
        <v>16.854304608039996</v>
      </c>
    </row>
    <row r="21" spans="1:4" ht="15.75" x14ac:dyDescent="0.25">
      <c r="A21" s="910" t="s">
        <v>63</v>
      </c>
      <c r="B21" s="910"/>
      <c r="C21" s="135">
        <v>0.08</v>
      </c>
      <c r="D21" s="478">
        <f>'Calculos CS 3 y 4'!B75+'CS 5'!B71+'CS6'!B71+'Turbinas CS'!C68</f>
        <v>3.4208125597799993E-3</v>
      </c>
    </row>
    <row r="22" spans="1:4" ht="15.75" x14ac:dyDescent="0.25">
      <c r="A22" s="910" t="s">
        <v>156</v>
      </c>
      <c r="B22" s="910"/>
      <c r="C22" s="135">
        <v>0</v>
      </c>
      <c r="D22" s="478">
        <v>0</v>
      </c>
    </row>
    <row r="23" spans="1:4" ht="18.75" x14ac:dyDescent="0.25">
      <c r="A23" s="912" t="s">
        <v>311</v>
      </c>
      <c r="B23" s="912"/>
      <c r="C23" s="127"/>
      <c r="D23" s="133">
        <f>'Turbinas CS'!C77+'CS 5'!B77+'CS6'!B77</f>
        <v>166376.97412001941</v>
      </c>
    </row>
    <row r="24" spans="1:4" ht="15.75" x14ac:dyDescent="0.25">
      <c r="A24" s="51"/>
      <c r="B24" s="24"/>
      <c r="C24" s="24"/>
      <c r="D24" s="24"/>
    </row>
    <row r="25" spans="1:4" ht="15.75" x14ac:dyDescent="0.25">
      <c r="A25" s="51" t="s">
        <v>103</v>
      </c>
      <c r="B25" s="24"/>
      <c r="C25" s="24"/>
      <c r="D25" s="24"/>
    </row>
    <row r="26" spans="1:4" ht="15.75" x14ac:dyDescent="0.25">
      <c r="A26" s="51" t="s">
        <v>104</v>
      </c>
      <c r="B26" s="24"/>
      <c r="C26" s="24"/>
      <c r="D26" s="24"/>
    </row>
    <row r="27" spans="1:4" ht="15.75" x14ac:dyDescent="0.25">
      <c r="A27" s="51" t="s">
        <v>105</v>
      </c>
      <c r="B27" s="24"/>
      <c r="C27" s="24"/>
      <c r="D27" s="24"/>
    </row>
    <row r="28" spans="1:4" ht="15.75" x14ac:dyDescent="0.25">
      <c r="A28" s="51" t="s">
        <v>106</v>
      </c>
      <c r="B28" s="24"/>
      <c r="C28" s="24"/>
      <c r="D28" s="24"/>
    </row>
    <row r="29" spans="1:4" ht="15.75" x14ac:dyDescent="0.25">
      <c r="A29" s="51"/>
      <c r="B29" s="24"/>
      <c r="C29" s="24"/>
      <c r="D29" s="24"/>
    </row>
    <row r="30" spans="1:4" ht="15.75" x14ac:dyDescent="0.25">
      <c r="A30" s="51" t="s">
        <v>107</v>
      </c>
      <c r="B30" s="24"/>
      <c r="C30" s="24"/>
      <c r="D30" s="24"/>
    </row>
    <row r="31" spans="1:4" ht="15.75" x14ac:dyDescent="0.25">
      <c r="A31" s="51" t="s">
        <v>157</v>
      </c>
      <c r="B31" s="24"/>
      <c r="C31" s="24"/>
      <c r="D31" s="24"/>
    </row>
    <row r="32" spans="1:4" ht="15.75" x14ac:dyDescent="0.25">
      <c r="A32" s="51" t="s">
        <v>158</v>
      </c>
      <c r="B32" s="24"/>
      <c r="C32" s="24"/>
      <c r="D32" s="24"/>
    </row>
    <row r="33" spans="1:1" ht="15.75" x14ac:dyDescent="0.25">
      <c r="A33" s="51" t="s">
        <v>312</v>
      </c>
    </row>
  </sheetData>
  <mergeCells count="17">
    <mergeCell ref="A23:B23"/>
    <mergeCell ref="A22:B22"/>
    <mergeCell ref="A21:B21"/>
    <mergeCell ref="A5:D5"/>
    <mergeCell ref="A20:B20"/>
    <mergeCell ref="A17:B17"/>
    <mergeCell ref="A18:B18"/>
    <mergeCell ref="A19:B19"/>
    <mergeCell ref="A3:D3"/>
    <mergeCell ref="A13:B13"/>
    <mergeCell ref="A11:B12"/>
    <mergeCell ref="A16:B16"/>
    <mergeCell ref="A14:B14"/>
    <mergeCell ref="A15:B15"/>
    <mergeCell ref="A7:D7"/>
    <mergeCell ref="A6:D6"/>
    <mergeCell ref="A9:D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37"/>
  <sheetViews>
    <sheetView topLeftCell="A15" workbookViewId="0">
      <selection activeCell="A23" sqref="A23:A34"/>
    </sheetView>
  </sheetViews>
  <sheetFormatPr defaultColWidth="8.85546875" defaultRowHeight="15" x14ac:dyDescent="0.25"/>
  <cols>
    <col min="1" max="1" width="9.42578125" style="327" bestFit="1" customWidth="1"/>
    <col min="2" max="3" width="11.42578125" style="327" customWidth="1"/>
    <col min="4" max="4" width="14.85546875" style="327" customWidth="1"/>
    <col min="5" max="5" width="16.42578125" style="327" customWidth="1"/>
    <col min="6" max="6" width="15.140625" style="327" customWidth="1"/>
    <col min="7" max="7" width="14.85546875" style="327" customWidth="1"/>
    <col min="8" max="8" width="14.7109375" style="327" customWidth="1"/>
    <col min="9" max="9" width="13.85546875" style="327" customWidth="1"/>
    <col min="10" max="10" width="12.42578125" style="327" bestFit="1" customWidth="1"/>
    <col min="11" max="12" width="9.28515625" style="327" bestFit="1" customWidth="1"/>
    <col min="13" max="13" width="13" style="327" customWidth="1"/>
    <col min="14" max="14" width="19.5703125" style="327" customWidth="1"/>
    <col min="15" max="15" width="18.140625" style="327" customWidth="1"/>
    <col min="16" max="16384" width="8.85546875" style="327"/>
  </cols>
  <sheetData>
    <row r="1" spans="1:18" ht="15.75" thickBot="1" x14ac:dyDescent="0.3"/>
    <row r="2" spans="1:18" ht="15.75" thickBot="1" x14ac:dyDescent="0.3">
      <c r="A2" s="880" t="s">
        <v>354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2"/>
    </row>
    <row r="3" spans="1:18" ht="15.75" thickBot="1" x14ac:dyDescent="0.3">
      <c r="A3" s="914" t="s">
        <v>5</v>
      </c>
      <c r="B3" s="880" t="s">
        <v>30</v>
      </c>
      <c r="C3" s="881"/>
      <c r="D3" s="881"/>
      <c r="E3" s="886"/>
      <c r="F3" s="883" t="s">
        <v>79</v>
      </c>
      <c r="G3" s="881"/>
      <c r="H3" s="881"/>
      <c r="I3" s="881"/>
      <c r="J3" s="880" t="s">
        <v>130</v>
      </c>
      <c r="K3" s="881"/>
      <c r="L3" s="881"/>
      <c r="M3" s="882"/>
    </row>
    <row r="4" spans="1:18" ht="15.75" thickBot="1" x14ac:dyDescent="0.3">
      <c r="A4" s="914"/>
      <c r="B4" s="332" t="s">
        <v>6</v>
      </c>
      <c r="C4" s="332" t="s">
        <v>7</v>
      </c>
      <c r="D4" s="332" t="s">
        <v>8</v>
      </c>
      <c r="E4" s="332" t="s">
        <v>9</v>
      </c>
      <c r="F4" s="332" t="s">
        <v>6</v>
      </c>
      <c r="G4" s="332" t="s">
        <v>7</v>
      </c>
      <c r="H4" s="332" t="s">
        <v>8</v>
      </c>
      <c r="I4" s="359" t="s">
        <v>9</v>
      </c>
      <c r="J4" s="332" t="s">
        <v>6</v>
      </c>
      <c r="K4" s="332" t="s">
        <v>7</v>
      </c>
      <c r="L4" s="332" t="s">
        <v>8</v>
      </c>
      <c r="M4" s="332" t="s">
        <v>9</v>
      </c>
      <c r="P4" s="377"/>
      <c r="Q4" s="377"/>
    </row>
    <row r="5" spans="1:18" x14ac:dyDescent="0.25">
      <c r="A5" s="696">
        <v>46023</v>
      </c>
      <c r="B5" s="570"/>
      <c r="C5" s="570"/>
      <c r="D5" s="570"/>
      <c r="E5" s="369"/>
      <c r="F5" s="575"/>
      <c r="G5" s="575"/>
      <c r="H5" s="575"/>
      <c r="I5" s="479"/>
      <c r="J5" s="570"/>
      <c r="K5" s="570"/>
      <c r="L5" s="570"/>
      <c r="M5" s="482"/>
      <c r="P5" s="378"/>
      <c r="Q5" s="379"/>
    </row>
    <row r="6" spans="1:18" x14ac:dyDescent="0.25">
      <c r="A6" s="738">
        <v>46054</v>
      </c>
      <c r="B6" s="757">
        <v>0</v>
      </c>
      <c r="C6" s="757">
        <v>0</v>
      </c>
      <c r="D6" s="757">
        <v>54610.51</v>
      </c>
      <c r="E6" s="751">
        <v>0</v>
      </c>
      <c r="F6" s="758">
        <f t="shared" ref="F6:H16" si="0">B6*42</f>
        <v>0</v>
      </c>
      <c r="G6" s="758">
        <f t="shared" si="0"/>
        <v>0</v>
      </c>
      <c r="H6" s="758">
        <f t="shared" si="0"/>
        <v>2293641.42</v>
      </c>
      <c r="I6" s="759">
        <v>0</v>
      </c>
      <c r="J6" s="757">
        <v>0.47</v>
      </c>
      <c r="K6" s="757" t="s">
        <v>183</v>
      </c>
      <c r="L6" s="757">
        <v>0.47</v>
      </c>
      <c r="M6" s="760"/>
      <c r="P6" s="378"/>
      <c r="Q6" s="379"/>
    </row>
    <row r="7" spans="1:18" x14ac:dyDescent="0.25">
      <c r="A7" s="697">
        <v>46082</v>
      </c>
      <c r="B7" s="571"/>
      <c r="C7" s="571">
        <v>0</v>
      </c>
      <c r="D7" s="571"/>
      <c r="E7" s="369"/>
      <c r="F7" s="576">
        <v>0</v>
      </c>
      <c r="G7" s="576">
        <f t="shared" si="0"/>
        <v>0</v>
      </c>
      <c r="H7" s="576">
        <v>0</v>
      </c>
      <c r="I7" s="480">
        <v>0</v>
      </c>
      <c r="J7" s="571"/>
      <c r="K7" s="571"/>
      <c r="L7" s="571"/>
      <c r="M7" s="482"/>
      <c r="P7" s="378"/>
      <c r="Q7" s="380"/>
    </row>
    <row r="8" spans="1:18" x14ac:dyDescent="0.25">
      <c r="A8" s="697">
        <v>46113</v>
      </c>
      <c r="B8" s="572"/>
      <c r="C8" s="571">
        <v>0</v>
      </c>
      <c r="D8" s="571"/>
      <c r="E8" s="369"/>
      <c r="F8" s="576">
        <f t="shared" si="0"/>
        <v>0</v>
      </c>
      <c r="G8" s="576">
        <f t="shared" si="0"/>
        <v>0</v>
      </c>
      <c r="H8" s="576">
        <f t="shared" si="0"/>
        <v>0</v>
      </c>
      <c r="I8" s="480">
        <v>0</v>
      </c>
      <c r="J8" s="571"/>
      <c r="K8" s="571" t="s">
        <v>183</v>
      </c>
      <c r="L8" s="571"/>
      <c r="M8" s="482"/>
      <c r="P8" s="380"/>
      <c r="Q8" s="380"/>
    </row>
    <row r="9" spans="1:18" x14ac:dyDescent="0.25">
      <c r="A9" s="697">
        <v>46143</v>
      </c>
      <c r="B9" s="571"/>
      <c r="C9" s="571">
        <v>0</v>
      </c>
      <c r="D9" s="571"/>
      <c r="E9" s="369"/>
      <c r="F9" s="576">
        <f t="shared" si="0"/>
        <v>0</v>
      </c>
      <c r="G9" s="576">
        <f t="shared" si="0"/>
        <v>0</v>
      </c>
      <c r="H9" s="576">
        <f t="shared" si="0"/>
        <v>0</v>
      </c>
      <c r="I9" s="480">
        <v>0</v>
      </c>
      <c r="J9" s="571"/>
      <c r="K9" s="571" t="s">
        <v>183</v>
      </c>
      <c r="L9" s="571"/>
      <c r="M9" s="482"/>
      <c r="P9" s="380"/>
      <c r="Q9" s="380"/>
    </row>
    <row r="10" spans="1:18" x14ac:dyDescent="0.25">
      <c r="A10" s="697">
        <v>46174</v>
      </c>
      <c r="B10" s="571"/>
      <c r="C10" s="571">
        <v>0</v>
      </c>
      <c r="D10" s="571"/>
      <c r="E10" s="369"/>
      <c r="F10" s="576">
        <f t="shared" si="0"/>
        <v>0</v>
      </c>
      <c r="G10" s="576">
        <f t="shared" si="0"/>
        <v>0</v>
      </c>
      <c r="H10" s="576">
        <f t="shared" si="0"/>
        <v>0</v>
      </c>
      <c r="I10" s="480">
        <v>0</v>
      </c>
      <c r="J10" s="571"/>
      <c r="K10" s="571" t="s">
        <v>183</v>
      </c>
      <c r="L10" s="571"/>
      <c r="M10" s="482"/>
      <c r="P10" s="380"/>
      <c r="Q10" s="381"/>
      <c r="R10" s="382"/>
    </row>
    <row r="11" spans="1:18" x14ac:dyDescent="0.25">
      <c r="A11" s="697">
        <v>46204</v>
      </c>
      <c r="B11" s="573"/>
      <c r="C11" s="573">
        <v>0</v>
      </c>
      <c r="D11" s="573"/>
      <c r="E11" s="369"/>
      <c r="F11" s="576">
        <f t="shared" si="0"/>
        <v>0</v>
      </c>
      <c r="G11" s="576">
        <f t="shared" si="0"/>
        <v>0</v>
      </c>
      <c r="H11" s="576">
        <f t="shared" si="0"/>
        <v>0</v>
      </c>
      <c r="I11" s="480">
        <v>0</v>
      </c>
      <c r="J11" s="573"/>
      <c r="K11" s="573" t="s">
        <v>183</v>
      </c>
      <c r="L11" s="573"/>
      <c r="M11" s="482"/>
      <c r="P11" s="380"/>
    </row>
    <row r="12" spans="1:18" x14ac:dyDescent="0.25">
      <c r="A12" s="697">
        <v>46235</v>
      </c>
      <c r="B12" s="573"/>
      <c r="C12" s="370">
        <v>0</v>
      </c>
      <c r="D12" s="573"/>
      <c r="E12" s="369"/>
      <c r="F12" s="576">
        <f t="shared" si="0"/>
        <v>0</v>
      </c>
      <c r="G12" s="576">
        <f t="shared" si="0"/>
        <v>0</v>
      </c>
      <c r="H12" s="576">
        <f t="shared" si="0"/>
        <v>0</v>
      </c>
      <c r="I12" s="480">
        <v>0</v>
      </c>
      <c r="J12" s="573"/>
      <c r="K12" s="573" t="s">
        <v>183</v>
      </c>
      <c r="L12" s="573"/>
      <c r="M12" s="482"/>
      <c r="P12" s="380"/>
    </row>
    <row r="13" spans="1:18" x14ac:dyDescent="0.25">
      <c r="A13" s="697">
        <v>46266</v>
      </c>
      <c r="B13" s="573"/>
      <c r="C13" s="573">
        <v>0</v>
      </c>
      <c r="D13" s="573"/>
      <c r="E13" s="369"/>
      <c r="F13" s="576">
        <f t="shared" si="0"/>
        <v>0</v>
      </c>
      <c r="G13" s="576">
        <f t="shared" si="0"/>
        <v>0</v>
      </c>
      <c r="H13" s="576">
        <f t="shared" si="0"/>
        <v>0</v>
      </c>
      <c r="I13" s="480">
        <v>0</v>
      </c>
      <c r="J13" s="573"/>
      <c r="K13" s="573" t="s">
        <v>183</v>
      </c>
      <c r="L13" s="573"/>
      <c r="M13" s="482"/>
      <c r="O13" s="382"/>
      <c r="P13" s="381"/>
    </row>
    <row r="14" spans="1:18" x14ac:dyDescent="0.25">
      <c r="A14" s="697">
        <v>46296</v>
      </c>
      <c r="B14" s="573"/>
      <c r="C14" s="573">
        <v>0</v>
      </c>
      <c r="D14" s="573"/>
      <c r="E14" s="369"/>
      <c r="F14" s="576">
        <f t="shared" si="0"/>
        <v>0</v>
      </c>
      <c r="G14" s="576">
        <f t="shared" si="0"/>
        <v>0</v>
      </c>
      <c r="H14" s="576">
        <f t="shared" si="0"/>
        <v>0</v>
      </c>
      <c r="I14" s="480">
        <v>0</v>
      </c>
      <c r="J14" s="573"/>
      <c r="K14" s="573" t="s">
        <v>183</v>
      </c>
      <c r="L14" s="573"/>
      <c r="M14" s="482"/>
    </row>
    <row r="15" spans="1:18" x14ac:dyDescent="0.25">
      <c r="A15" s="697">
        <v>46327</v>
      </c>
      <c r="B15" s="571"/>
      <c r="C15" s="571">
        <v>0</v>
      </c>
      <c r="D15" s="571"/>
      <c r="E15" s="369"/>
      <c r="F15" s="576">
        <f t="shared" si="0"/>
        <v>0</v>
      </c>
      <c r="G15" s="576">
        <f t="shared" si="0"/>
        <v>0</v>
      </c>
      <c r="H15" s="576">
        <f t="shared" si="0"/>
        <v>0</v>
      </c>
      <c r="I15" s="480">
        <v>0</v>
      </c>
      <c r="J15" s="571"/>
      <c r="K15" s="571" t="s">
        <v>183</v>
      </c>
      <c r="L15" s="571"/>
      <c r="M15" s="482"/>
    </row>
    <row r="16" spans="1:18" ht="15.75" thickBot="1" x14ac:dyDescent="0.3">
      <c r="A16" s="698">
        <v>46357</v>
      </c>
      <c r="B16" s="574"/>
      <c r="C16" s="574">
        <v>0</v>
      </c>
      <c r="D16" s="574"/>
      <c r="E16" s="369"/>
      <c r="F16" s="577">
        <f t="shared" si="0"/>
        <v>0</v>
      </c>
      <c r="G16" s="577">
        <f t="shared" si="0"/>
        <v>0</v>
      </c>
      <c r="H16" s="577">
        <f t="shared" si="0"/>
        <v>0</v>
      </c>
      <c r="I16" s="481">
        <v>0</v>
      </c>
      <c r="J16" s="574"/>
      <c r="K16" s="574" t="s">
        <v>183</v>
      </c>
      <c r="L16" s="574"/>
      <c r="M16" s="482"/>
    </row>
    <row r="17" spans="1:17" ht="15.75" thickBot="1" x14ac:dyDescent="0.3">
      <c r="A17" s="332" t="s">
        <v>4</v>
      </c>
      <c r="B17" s="348">
        <f t="shared" ref="B17:I17" si="1">SUM(B5:B16)</f>
        <v>0</v>
      </c>
      <c r="C17" s="348">
        <f t="shared" si="1"/>
        <v>0</v>
      </c>
      <c r="D17" s="348">
        <f t="shared" si="1"/>
        <v>54610.51</v>
      </c>
      <c r="E17" s="348">
        <f t="shared" si="1"/>
        <v>0</v>
      </c>
      <c r="F17" s="348">
        <f t="shared" si="1"/>
        <v>0</v>
      </c>
      <c r="G17" s="348">
        <f t="shared" si="1"/>
        <v>0</v>
      </c>
      <c r="H17" s="348">
        <f t="shared" si="1"/>
        <v>2293641.42</v>
      </c>
      <c r="I17" s="445">
        <f t="shared" si="1"/>
        <v>0</v>
      </c>
      <c r="J17" s="373">
        <f>AVERAGE(J5:J16)</f>
        <v>0.47</v>
      </c>
      <c r="K17" s="373">
        <f>SUM(K5:K16)</f>
        <v>0</v>
      </c>
      <c r="L17" s="373">
        <f>AVERAGE(L5:L16)</f>
        <v>0.47</v>
      </c>
      <c r="M17" s="373" t="e">
        <f>AVERAGE(M5:M16)</f>
        <v>#DIV/0!</v>
      </c>
    </row>
    <row r="18" spans="1:17" x14ac:dyDescent="0.25">
      <c r="G18" s="383"/>
    </row>
    <row r="19" spans="1:17" ht="15.75" thickBot="1" x14ac:dyDescent="0.3"/>
    <row r="20" spans="1:17" ht="15.75" thickBot="1" x14ac:dyDescent="0.3">
      <c r="A20" s="880" t="s">
        <v>355</v>
      </c>
      <c r="B20" s="881"/>
      <c r="C20" s="881"/>
      <c r="D20" s="881"/>
      <c r="E20" s="881"/>
      <c r="F20" s="881"/>
      <c r="G20" s="881"/>
      <c r="H20" s="881"/>
      <c r="I20" s="882"/>
      <c r="M20" s="880" t="s">
        <v>356</v>
      </c>
      <c r="N20" s="881"/>
      <c r="O20" s="881"/>
      <c r="P20" s="881"/>
      <c r="Q20" s="882"/>
    </row>
    <row r="21" spans="1:17" ht="15.75" thickBot="1" x14ac:dyDescent="0.3">
      <c r="A21" s="914" t="s">
        <v>5</v>
      </c>
      <c r="B21" s="913" t="s">
        <v>30</v>
      </c>
      <c r="C21" s="913"/>
      <c r="D21" s="913" t="s">
        <v>79</v>
      </c>
      <c r="E21" s="913"/>
      <c r="F21" s="913" t="s">
        <v>130</v>
      </c>
      <c r="G21" s="880"/>
      <c r="H21" s="913" t="s">
        <v>129</v>
      </c>
      <c r="I21" s="913"/>
      <c r="M21" s="915" t="s">
        <v>5</v>
      </c>
      <c r="N21" s="883" t="s">
        <v>31</v>
      </c>
      <c r="O21" s="886"/>
      <c r="P21" s="883" t="s">
        <v>130</v>
      </c>
      <c r="Q21" s="882"/>
    </row>
    <row r="22" spans="1:17" ht="15.75" thickBot="1" x14ac:dyDescent="0.3">
      <c r="A22" s="914"/>
      <c r="B22" s="332" t="s">
        <v>35</v>
      </c>
      <c r="C22" s="332" t="s">
        <v>36</v>
      </c>
      <c r="D22" s="332" t="s">
        <v>35</v>
      </c>
      <c r="E22" s="332" t="s">
        <v>36</v>
      </c>
      <c r="F22" s="332" t="s">
        <v>35</v>
      </c>
      <c r="G22" s="359" t="s">
        <v>36</v>
      </c>
      <c r="H22" s="332" t="s">
        <v>35</v>
      </c>
      <c r="I22" s="332" t="s">
        <v>36</v>
      </c>
      <c r="M22" s="916"/>
      <c r="N22" s="336" t="s">
        <v>33</v>
      </c>
      <c r="O22" s="335" t="s">
        <v>34</v>
      </c>
      <c r="P22" s="336" t="s">
        <v>33</v>
      </c>
      <c r="Q22" s="337" t="s">
        <v>34</v>
      </c>
    </row>
    <row r="23" spans="1:17" x14ac:dyDescent="0.25">
      <c r="A23" s="696">
        <v>46023</v>
      </c>
      <c r="B23" s="570"/>
      <c r="C23" s="570"/>
      <c r="D23" s="578"/>
      <c r="E23" s="578"/>
      <c r="F23" s="579"/>
      <c r="G23" s="579"/>
      <c r="H23" s="580"/>
      <c r="I23" s="580"/>
      <c r="M23" s="338">
        <f t="shared" ref="M23:M34" si="2">A5</f>
        <v>46023</v>
      </c>
      <c r="N23" s="562"/>
      <c r="O23" s="562"/>
      <c r="P23" s="590"/>
      <c r="Q23" s="590"/>
    </row>
    <row r="24" spans="1:17" x14ac:dyDescent="0.25">
      <c r="A24" s="738">
        <v>46054</v>
      </c>
      <c r="B24" s="757">
        <v>9153.5300000000007</v>
      </c>
      <c r="C24" s="757">
        <v>0</v>
      </c>
      <c r="D24" s="761">
        <f t="shared" ref="D24:E34" si="3">SUM(B24*42)</f>
        <v>384448.26</v>
      </c>
      <c r="E24" s="761">
        <f t="shared" si="3"/>
        <v>0</v>
      </c>
      <c r="F24" s="762">
        <v>7.3999999999999999E-4</v>
      </c>
      <c r="G24" s="762">
        <v>7.3999999999999999E-4</v>
      </c>
      <c r="H24" s="763">
        <v>668.7</v>
      </c>
      <c r="I24" s="763">
        <v>0</v>
      </c>
      <c r="M24" s="736">
        <f t="shared" si="2"/>
        <v>46054</v>
      </c>
      <c r="N24" s="764">
        <v>928901636.72000003</v>
      </c>
      <c r="O24" s="764">
        <v>0</v>
      </c>
      <c r="P24" s="765">
        <v>1E-3</v>
      </c>
      <c r="Q24" s="765">
        <v>1E-3</v>
      </c>
    </row>
    <row r="25" spans="1:17" x14ac:dyDescent="0.25">
      <c r="A25" s="697">
        <v>46082</v>
      </c>
      <c r="B25" s="571"/>
      <c r="C25" s="571"/>
      <c r="D25" s="581"/>
      <c r="E25" s="581"/>
      <c r="F25" s="582"/>
      <c r="G25" s="582"/>
      <c r="H25" s="583"/>
      <c r="I25" s="583"/>
      <c r="M25" s="340">
        <f t="shared" si="2"/>
        <v>46082</v>
      </c>
      <c r="N25" s="564"/>
      <c r="O25" s="564"/>
      <c r="P25" s="591"/>
      <c r="Q25" s="591"/>
    </row>
    <row r="26" spans="1:17" x14ac:dyDescent="0.25">
      <c r="A26" s="697">
        <v>46113</v>
      </c>
      <c r="B26" s="571"/>
      <c r="C26" s="571"/>
      <c r="D26" s="581">
        <f t="shared" si="3"/>
        <v>0</v>
      </c>
      <c r="E26" s="581">
        <f t="shared" si="3"/>
        <v>0</v>
      </c>
      <c r="F26" s="582"/>
      <c r="G26" s="582"/>
      <c r="H26" s="583"/>
      <c r="I26" s="583"/>
      <c r="M26" s="340">
        <f t="shared" si="2"/>
        <v>46113</v>
      </c>
      <c r="N26" s="564"/>
      <c r="O26" s="564"/>
      <c r="P26" s="591"/>
      <c r="Q26" s="591"/>
    </row>
    <row r="27" spans="1:17" x14ac:dyDescent="0.25">
      <c r="A27" s="697">
        <v>46143</v>
      </c>
      <c r="B27" s="571"/>
      <c r="C27" s="571"/>
      <c r="D27" s="581">
        <f t="shared" si="3"/>
        <v>0</v>
      </c>
      <c r="E27" s="581">
        <f t="shared" si="3"/>
        <v>0</v>
      </c>
      <c r="F27" s="582"/>
      <c r="G27" s="582"/>
      <c r="H27" s="583"/>
      <c r="I27" s="583"/>
      <c r="M27" s="340">
        <f t="shared" si="2"/>
        <v>46143</v>
      </c>
      <c r="N27" s="564"/>
      <c r="O27" s="564"/>
      <c r="P27" s="591"/>
      <c r="Q27" s="591"/>
    </row>
    <row r="28" spans="1:17" x14ac:dyDescent="0.25">
      <c r="A28" s="697">
        <v>46174</v>
      </c>
      <c r="B28" s="571"/>
      <c r="C28" s="571"/>
      <c r="D28" s="581">
        <f t="shared" si="3"/>
        <v>0</v>
      </c>
      <c r="E28" s="581">
        <f t="shared" si="3"/>
        <v>0</v>
      </c>
      <c r="F28" s="582"/>
      <c r="G28" s="582"/>
      <c r="H28" s="583"/>
      <c r="I28" s="583"/>
      <c r="M28" s="340">
        <f t="shared" si="2"/>
        <v>46174</v>
      </c>
      <c r="N28" s="564"/>
      <c r="O28" s="564"/>
      <c r="P28" s="591"/>
      <c r="Q28" s="591"/>
    </row>
    <row r="29" spans="1:17" x14ac:dyDescent="0.25">
      <c r="A29" s="697">
        <v>46204</v>
      </c>
      <c r="B29" s="573"/>
      <c r="C29" s="573"/>
      <c r="D29" s="581">
        <f t="shared" si="3"/>
        <v>0</v>
      </c>
      <c r="E29" s="581">
        <f t="shared" si="3"/>
        <v>0</v>
      </c>
      <c r="F29" s="584"/>
      <c r="G29" s="584"/>
      <c r="H29" s="585"/>
      <c r="I29" s="585"/>
      <c r="M29" s="353">
        <f t="shared" si="2"/>
        <v>46204</v>
      </c>
      <c r="N29" s="592"/>
      <c r="O29" s="592"/>
      <c r="P29" s="591"/>
      <c r="Q29" s="591"/>
    </row>
    <row r="30" spans="1:17" x14ac:dyDescent="0.25">
      <c r="A30" s="697">
        <v>46235</v>
      </c>
      <c r="B30" s="573"/>
      <c r="C30" s="573"/>
      <c r="D30" s="581">
        <f t="shared" si="3"/>
        <v>0</v>
      </c>
      <c r="E30" s="581">
        <f t="shared" si="3"/>
        <v>0</v>
      </c>
      <c r="F30" s="584"/>
      <c r="G30" s="584"/>
      <c r="H30" s="585"/>
      <c r="I30" s="585"/>
      <c r="M30" s="353">
        <f t="shared" si="2"/>
        <v>46235</v>
      </c>
      <c r="N30" s="592"/>
      <c r="O30" s="592"/>
      <c r="P30" s="591"/>
      <c r="Q30" s="591"/>
    </row>
    <row r="31" spans="1:17" x14ac:dyDescent="0.25">
      <c r="A31" s="697">
        <v>46266</v>
      </c>
      <c r="B31" s="370"/>
      <c r="C31" s="573"/>
      <c r="D31" s="581">
        <f t="shared" si="3"/>
        <v>0</v>
      </c>
      <c r="E31" s="581">
        <f t="shared" si="3"/>
        <v>0</v>
      </c>
      <c r="F31" s="584"/>
      <c r="G31" s="584"/>
      <c r="H31" s="585"/>
      <c r="I31" s="585"/>
      <c r="M31" s="353">
        <f t="shared" si="2"/>
        <v>46266</v>
      </c>
      <c r="N31" s="592"/>
      <c r="O31" s="592"/>
      <c r="P31" s="591"/>
      <c r="Q31" s="591"/>
    </row>
    <row r="32" spans="1:17" x14ac:dyDescent="0.25">
      <c r="A32" s="697">
        <v>46296</v>
      </c>
      <c r="B32" s="573"/>
      <c r="C32" s="573"/>
      <c r="D32" s="581">
        <f t="shared" si="3"/>
        <v>0</v>
      </c>
      <c r="E32" s="581">
        <f t="shared" si="3"/>
        <v>0</v>
      </c>
      <c r="F32" s="584"/>
      <c r="G32" s="584"/>
      <c r="H32" s="585"/>
      <c r="I32" s="585"/>
      <c r="M32" s="353">
        <f t="shared" si="2"/>
        <v>46296</v>
      </c>
      <c r="N32" s="592"/>
      <c r="O32" s="592"/>
      <c r="P32" s="591"/>
      <c r="Q32" s="591"/>
    </row>
    <row r="33" spans="1:17" x14ac:dyDescent="0.25">
      <c r="A33" s="697">
        <v>46327</v>
      </c>
      <c r="B33" s="571"/>
      <c r="C33" s="571"/>
      <c r="D33" s="581">
        <f t="shared" si="3"/>
        <v>0</v>
      </c>
      <c r="E33" s="581">
        <f t="shared" si="3"/>
        <v>0</v>
      </c>
      <c r="F33" s="582"/>
      <c r="G33" s="582"/>
      <c r="H33" s="583"/>
      <c r="I33" s="583"/>
      <c r="M33" s="353">
        <f t="shared" si="2"/>
        <v>46327</v>
      </c>
      <c r="N33" s="592"/>
      <c r="O33" s="592"/>
      <c r="P33" s="591"/>
      <c r="Q33" s="591"/>
    </row>
    <row r="34" spans="1:17" ht="15.75" thickBot="1" x14ac:dyDescent="0.3">
      <c r="A34" s="698">
        <v>46357</v>
      </c>
      <c r="B34" s="574"/>
      <c r="C34" s="586"/>
      <c r="D34" s="587">
        <f t="shared" si="3"/>
        <v>0</v>
      </c>
      <c r="E34" s="587">
        <f t="shared" si="3"/>
        <v>0</v>
      </c>
      <c r="F34" s="588"/>
      <c r="G34" s="588"/>
      <c r="H34" s="589"/>
      <c r="I34" s="589"/>
      <c r="M34" s="354">
        <f t="shared" si="2"/>
        <v>46357</v>
      </c>
      <c r="N34" s="593"/>
      <c r="O34" s="593"/>
      <c r="P34" s="594"/>
      <c r="Q34" s="594"/>
    </row>
    <row r="35" spans="1:17" ht="15.75" thickBot="1" x14ac:dyDescent="0.3">
      <c r="A35" s="360" t="s">
        <v>4</v>
      </c>
      <c r="B35" s="375">
        <f>SUM(B23:B34)</f>
        <v>9153.5300000000007</v>
      </c>
      <c r="C35" s="375">
        <f>SUM(C23:C34)</f>
        <v>0</v>
      </c>
      <c r="D35" s="375">
        <f>SUM(D23:D34)</f>
        <v>384448.26</v>
      </c>
      <c r="E35" s="375">
        <f>SUM(E23:E34)</f>
        <v>0</v>
      </c>
      <c r="F35" s="373">
        <f>AVERAGE(F23:F34)</f>
        <v>7.3999999999999999E-4</v>
      </c>
      <c r="G35" s="483">
        <f>AVERAGE(G23:G34)</f>
        <v>7.3999999999999999E-4</v>
      </c>
      <c r="H35" s="376">
        <f>SUM(H23:H34)</f>
        <v>668.7</v>
      </c>
      <c r="I35" s="376">
        <f>SUM(I23:I34)</f>
        <v>0</v>
      </c>
      <c r="M35" s="332" t="s">
        <v>32</v>
      </c>
      <c r="N35" s="357">
        <f>SUM(N23:N34)</f>
        <v>928901636.72000003</v>
      </c>
      <c r="O35" s="357">
        <f>SUM(O23:O34)</f>
        <v>0</v>
      </c>
      <c r="P35" s="358">
        <f>0</f>
        <v>0</v>
      </c>
      <c r="Q35" s="358">
        <f>0</f>
        <v>0</v>
      </c>
    </row>
    <row r="37" spans="1:17" x14ac:dyDescent="0.25">
      <c r="E37" s="383"/>
    </row>
  </sheetData>
  <mergeCells count="15">
    <mergeCell ref="J3:M3"/>
    <mergeCell ref="A2:M2"/>
    <mergeCell ref="H21:I21"/>
    <mergeCell ref="A20:I20"/>
    <mergeCell ref="F3:I3"/>
    <mergeCell ref="B3:E3"/>
    <mergeCell ref="A3:A4"/>
    <mergeCell ref="D21:E21"/>
    <mergeCell ref="A21:A22"/>
    <mergeCell ref="B21:C21"/>
    <mergeCell ref="F21:G21"/>
    <mergeCell ref="M20:Q20"/>
    <mergeCell ref="M21:M22"/>
    <mergeCell ref="N21:O21"/>
    <mergeCell ref="P21:Q2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S102"/>
  <sheetViews>
    <sheetView topLeftCell="A55" workbookViewId="0">
      <selection sqref="A1:H1"/>
    </sheetView>
  </sheetViews>
  <sheetFormatPr defaultRowHeight="15" x14ac:dyDescent="0.25"/>
  <cols>
    <col min="1" max="1" width="14.5703125" customWidth="1"/>
    <col min="2" max="2" width="14.7109375" customWidth="1"/>
    <col min="3" max="3" width="10.28515625" customWidth="1"/>
    <col min="4" max="4" width="16.42578125" customWidth="1"/>
    <col min="5" max="5" width="8.7109375" customWidth="1"/>
    <col min="6" max="6" width="10" customWidth="1"/>
    <col min="7" max="7" width="4.85546875" customWidth="1"/>
    <col min="9" max="9" width="6.7109375" customWidth="1"/>
    <col min="11" max="11" width="3.140625" customWidth="1"/>
  </cols>
  <sheetData>
    <row r="1" spans="1:19" x14ac:dyDescent="0.25">
      <c r="A1" s="898" t="s">
        <v>426</v>
      </c>
      <c r="B1" s="898"/>
      <c r="C1" s="898"/>
      <c r="D1" s="898"/>
      <c r="E1" s="898"/>
      <c r="F1" s="898"/>
      <c r="G1" s="898"/>
      <c r="H1" s="898"/>
    </row>
    <row r="3" spans="1:19" x14ac:dyDescent="0.25">
      <c r="A3" s="57" t="s">
        <v>112</v>
      </c>
      <c r="B3" s="26"/>
      <c r="C3" s="26"/>
      <c r="D3" s="24"/>
      <c r="E3" s="24"/>
      <c r="F3" s="24"/>
      <c r="G3" s="24"/>
      <c r="H3" s="24"/>
    </row>
    <row r="4" spans="1:19" x14ac:dyDescent="0.25">
      <c r="A4" s="57"/>
      <c r="B4" s="26"/>
      <c r="C4" s="26"/>
      <c r="D4" s="24"/>
      <c r="E4" s="24"/>
      <c r="F4" s="24"/>
      <c r="G4" s="24"/>
      <c r="H4" s="24"/>
    </row>
    <row r="5" spans="1:19" x14ac:dyDescent="0.25">
      <c r="A5" s="24" t="s">
        <v>113</v>
      </c>
      <c r="B5" s="323" t="s">
        <v>290</v>
      </c>
      <c r="C5" s="24"/>
      <c r="D5" s="323" t="s">
        <v>293</v>
      </c>
      <c r="E5" s="24"/>
      <c r="F5" s="24"/>
      <c r="G5" s="24"/>
      <c r="H5" s="24"/>
    </row>
    <row r="6" spans="1:19" x14ac:dyDescent="0.25">
      <c r="A6" s="24" t="s">
        <v>54</v>
      </c>
      <c r="B6" s="323" t="s">
        <v>291</v>
      </c>
      <c r="C6" s="24"/>
      <c r="D6" s="323" t="s">
        <v>289</v>
      </c>
      <c r="E6" s="24"/>
      <c r="F6" s="24"/>
      <c r="G6" s="24"/>
      <c r="H6" s="24"/>
    </row>
    <row r="7" spans="1:19" x14ac:dyDescent="0.25">
      <c r="A7" s="323" t="s">
        <v>141</v>
      </c>
      <c r="B7" s="323" t="s">
        <v>326</v>
      </c>
      <c r="C7" s="24"/>
      <c r="D7" s="323" t="s">
        <v>292</v>
      </c>
      <c r="E7" s="24"/>
      <c r="F7" s="24"/>
      <c r="G7" s="24"/>
      <c r="H7" s="24"/>
    </row>
    <row r="8" spans="1:19" x14ac:dyDescent="0.25">
      <c r="A8" s="24" t="s">
        <v>114</v>
      </c>
      <c r="B8" s="24" t="s">
        <v>122</v>
      </c>
      <c r="C8" s="24"/>
      <c r="D8" s="24"/>
      <c r="E8" s="24"/>
      <c r="F8" s="24"/>
      <c r="G8" s="24"/>
      <c r="H8" s="24"/>
    </row>
    <row r="9" spans="1:19" x14ac:dyDescent="0.25">
      <c r="A9" s="323" t="s">
        <v>294</v>
      </c>
      <c r="B9" s="323" t="s">
        <v>296</v>
      </c>
      <c r="C9" s="24"/>
      <c r="D9" s="323" t="s">
        <v>298</v>
      </c>
      <c r="E9" s="24"/>
      <c r="F9" s="24"/>
      <c r="G9" s="24"/>
      <c r="H9" s="24"/>
    </row>
    <row r="10" spans="1:19" x14ac:dyDescent="0.25">
      <c r="A10" s="323" t="s">
        <v>295</v>
      </c>
      <c r="B10" s="323" t="s">
        <v>297</v>
      </c>
      <c r="C10" s="24"/>
      <c r="D10" s="323" t="s">
        <v>299</v>
      </c>
      <c r="E10" s="24"/>
      <c r="F10" s="24"/>
      <c r="G10" s="24"/>
      <c r="H10" s="24"/>
    </row>
    <row r="11" spans="1:19" x14ac:dyDescent="0.25">
      <c r="A11" s="24" t="s">
        <v>59</v>
      </c>
      <c r="B11" s="24" t="s">
        <v>123</v>
      </c>
      <c r="C11" s="24"/>
      <c r="D11" s="323" t="s">
        <v>292</v>
      </c>
      <c r="E11" s="24"/>
      <c r="F11" s="24"/>
      <c r="G11" s="24"/>
      <c r="H11" s="24"/>
    </row>
    <row r="12" spans="1:19" x14ac:dyDescent="0.25">
      <c r="A12" s="24" t="s">
        <v>61</v>
      </c>
      <c r="B12" s="24" t="s">
        <v>124</v>
      </c>
      <c r="C12" s="24"/>
      <c r="D12" s="323" t="s">
        <v>292</v>
      </c>
      <c r="E12" s="24"/>
      <c r="F12" s="24"/>
      <c r="G12" s="24"/>
      <c r="H12" s="24"/>
    </row>
    <row r="13" spans="1:19" x14ac:dyDescent="0.25">
      <c r="A13" s="25" t="s">
        <v>63</v>
      </c>
      <c r="B13" s="24" t="s">
        <v>125</v>
      </c>
      <c r="C13" s="24"/>
      <c r="D13" s="24"/>
      <c r="E13" s="24"/>
      <c r="F13" s="24"/>
      <c r="G13" s="24"/>
      <c r="H13" s="24"/>
    </row>
    <row r="14" spans="1:19" x14ac:dyDescent="0.25">
      <c r="A14" s="511" t="s">
        <v>328</v>
      </c>
      <c r="B14" s="323" t="s">
        <v>359</v>
      </c>
      <c r="C14" s="24"/>
      <c r="D14" s="323" t="s">
        <v>335</v>
      </c>
      <c r="E14" s="24"/>
      <c r="F14" s="24"/>
      <c r="G14" s="24"/>
      <c r="H14" s="24"/>
      <c r="R14">
        <f>(515657.4+515.5+1229.1)*2204.6/45826002</f>
        <v>24.891205852956581</v>
      </c>
      <c r="S14" t="s">
        <v>329</v>
      </c>
    </row>
    <row r="16" spans="1:19" x14ac:dyDescent="0.25">
      <c r="A16" s="24" t="s">
        <v>65</v>
      </c>
      <c r="B16" s="27">
        <f>'San Juan'!F6+'San Juan'!G6</f>
        <v>0</v>
      </c>
      <c r="C16" s="323" t="s">
        <v>300</v>
      </c>
      <c r="D16" s="24"/>
      <c r="E16" s="24"/>
      <c r="F16" s="24"/>
      <c r="G16" s="24"/>
      <c r="H16" s="24"/>
    </row>
    <row r="17" spans="1:9" x14ac:dyDescent="0.25">
      <c r="A17" s="323" t="s">
        <v>65</v>
      </c>
      <c r="B17" s="27">
        <f>+'San Juan'!H6+'San Juan'!I6</f>
        <v>2293641.42</v>
      </c>
      <c r="C17" s="323" t="s">
        <v>301</v>
      </c>
      <c r="D17" s="24"/>
      <c r="E17" s="24"/>
      <c r="F17" s="24"/>
      <c r="G17" s="24"/>
      <c r="H17" s="24"/>
    </row>
    <row r="18" spans="1:9" ht="14.45" customHeight="1" x14ac:dyDescent="0.25">
      <c r="A18" s="24" t="s">
        <v>116</v>
      </c>
      <c r="B18" s="384">
        <f>IF(MAX('San Juan'!J6:M6)&gt;0,AVERAGE('San Juan'!J6:M6),0)</f>
        <v>0.47</v>
      </c>
      <c r="C18" s="24"/>
      <c r="D18" s="324" t="s">
        <v>252</v>
      </c>
      <c r="E18" s="24"/>
      <c r="F18" s="24"/>
      <c r="G18" s="24"/>
      <c r="H18" s="24"/>
    </row>
    <row r="19" spans="1:9" x14ac:dyDescent="0.25">
      <c r="A19" s="24"/>
      <c r="B19" s="27"/>
      <c r="C19" s="24"/>
      <c r="D19" s="24"/>
      <c r="E19" s="24"/>
      <c r="F19" s="24"/>
      <c r="G19" s="24"/>
      <c r="H19" s="24"/>
    </row>
    <row r="21" spans="1:9" x14ac:dyDescent="0.25">
      <c r="A21" s="24" t="s">
        <v>117</v>
      </c>
      <c r="B21" s="24"/>
      <c r="C21" s="24"/>
      <c r="D21" s="24"/>
      <c r="E21" s="24"/>
      <c r="F21" s="24"/>
      <c r="G21" s="24"/>
      <c r="H21" s="24"/>
      <c r="I21" s="24"/>
    </row>
    <row r="23" spans="1:9" x14ac:dyDescent="0.25">
      <c r="A23" s="28" t="s">
        <v>69</v>
      </c>
      <c r="B23" s="35">
        <v>0.04</v>
      </c>
      <c r="C23" s="33" t="s">
        <v>118</v>
      </c>
      <c r="D23" s="34">
        <f>B16+B17</f>
        <v>2293641.42</v>
      </c>
      <c r="E23" s="33" t="s">
        <v>71</v>
      </c>
      <c r="F23" s="894" t="s">
        <v>72</v>
      </c>
      <c r="G23" s="895"/>
      <c r="H23" s="35">
        <v>0.15</v>
      </c>
      <c r="I23" s="37" t="s">
        <v>119</v>
      </c>
    </row>
    <row r="24" spans="1:9" x14ac:dyDescent="0.25">
      <c r="A24" s="24"/>
      <c r="B24" s="917" t="s">
        <v>119</v>
      </c>
      <c r="C24" s="918"/>
      <c r="D24" s="896" t="s">
        <v>279</v>
      </c>
      <c r="E24" s="897"/>
      <c r="F24" s="30">
        <v>2000</v>
      </c>
      <c r="G24" s="31" t="s">
        <v>118</v>
      </c>
      <c r="H24" s="917" t="s">
        <v>71</v>
      </c>
      <c r="I24" s="918"/>
    </row>
    <row r="26" spans="1:9" x14ac:dyDescent="0.25">
      <c r="A26" s="28" t="s">
        <v>69</v>
      </c>
      <c r="B26" s="27">
        <f>((B23*D23*H23)/F24)</f>
        <v>6.8809242599999996</v>
      </c>
      <c r="C26" s="29" t="s">
        <v>72</v>
      </c>
      <c r="D26" s="24"/>
      <c r="E26" s="24"/>
      <c r="F26" s="24"/>
      <c r="G26" s="24"/>
      <c r="H26" s="24"/>
      <c r="I26" s="24"/>
    </row>
    <row r="27" spans="1:9" x14ac:dyDescent="0.25">
      <c r="A27" s="24"/>
      <c r="B27" s="24"/>
      <c r="C27" s="26" t="s">
        <v>279</v>
      </c>
      <c r="D27" s="24"/>
      <c r="E27" s="24"/>
      <c r="F27" s="24"/>
      <c r="G27" s="24"/>
      <c r="H27" s="24"/>
      <c r="I27" s="24"/>
    </row>
    <row r="29" spans="1:9" x14ac:dyDescent="0.25">
      <c r="A29" s="24" t="s">
        <v>68</v>
      </c>
      <c r="B29" s="24"/>
      <c r="C29" s="24"/>
      <c r="D29" s="24"/>
      <c r="E29" s="24"/>
      <c r="F29" s="24"/>
      <c r="G29" s="24"/>
      <c r="H29" s="24"/>
      <c r="I29" s="24"/>
    </row>
    <row r="31" spans="1:9" x14ac:dyDescent="0.25">
      <c r="A31" s="28" t="s">
        <v>69</v>
      </c>
      <c r="B31" s="35">
        <v>0.03</v>
      </c>
      <c r="C31" s="33" t="s">
        <v>118</v>
      </c>
      <c r="D31" s="34">
        <f>D23</f>
        <v>2293641.42</v>
      </c>
      <c r="E31" s="33" t="s">
        <v>71</v>
      </c>
      <c r="F31" s="894" t="s">
        <v>72</v>
      </c>
      <c r="G31" s="895"/>
      <c r="H31" s="35">
        <v>0.15</v>
      </c>
      <c r="I31" s="37" t="s">
        <v>119</v>
      </c>
    </row>
    <row r="32" spans="1:9" x14ac:dyDescent="0.25">
      <c r="A32" s="24"/>
      <c r="B32" s="917" t="s">
        <v>119</v>
      </c>
      <c r="C32" s="918"/>
      <c r="D32" s="896" t="s">
        <v>279</v>
      </c>
      <c r="E32" s="897"/>
      <c r="F32" s="30">
        <v>2000</v>
      </c>
      <c r="G32" s="31" t="s">
        <v>118</v>
      </c>
      <c r="H32" s="917" t="s">
        <v>71</v>
      </c>
      <c r="I32" s="918"/>
    </row>
    <row r="34" spans="1:11" x14ac:dyDescent="0.25">
      <c r="A34" s="28" t="s">
        <v>69</v>
      </c>
      <c r="B34" s="27">
        <f>((B31*D31*H31)/F32)</f>
        <v>5.1606931949999995</v>
      </c>
      <c r="C34" s="29" t="s">
        <v>72</v>
      </c>
      <c r="D34" s="24"/>
      <c r="E34" s="24"/>
      <c r="F34" s="24"/>
      <c r="G34" s="24"/>
      <c r="H34" s="24"/>
      <c r="I34" s="24"/>
    </row>
    <row r="35" spans="1:11" x14ac:dyDescent="0.25">
      <c r="A35" s="24"/>
      <c r="B35" s="24"/>
      <c r="C35" s="26" t="s">
        <v>279</v>
      </c>
      <c r="D35" s="24"/>
      <c r="E35" s="24"/>
      <c r="F35" s="24"/>
      <c r="G35" s="24"/>
      <c r="H35" s="24"/>
      <c r="I35" s="24"/>
    </row>
    <row r="38" spans="1:11" x14ac:dyDescent="0.25">
      <c r="A38" s="24" t="s">
        <v>120</v>
      </c>
      <c r="B38" s="24"/>
      <c r="C38" s="24"/>
      <c r="D38" s="24"/>
      <c r="E38" s="24"/>
      <c r="F38" s="24"/>
      <c r="G38" s="24"/>
      <c r="H38" s="24"/>
      <c r="I38" s="24"/>
    </row>
    <row r="40" spans="1:11" x14ac:dyDescent="0.25">
      <c r="A40" s="28" t="s">
        <v>69</v>
      </c>
      <c r="B40" s="61">
        <v>4.0500000000000001E-2</v>
      </c>
      <c r="C40" s="33" t="s">
        <v>118</v>
      </c>
      <c r="D40" s="34">
        <f>D31</f>
        <v>2293641.42</v>
      </c>
      <c r="E40" s="33" t="s">
        <v>71</v>
      </c>
      <c r="F40" s="894" t="s">
        <v>72</v>
      </c>
      <c r="G40" s="895"/>
      <c r="H40" s="35">
        <v>0.15</v>
      </c>
      <c r="I40" s="37" t="s">
        <v>119</v>
      </c>
    </row>
    <row r="41" spans="1:11" x14ac:dyDescent="0.25">
      <c r="A41" s="24"/>
      <c r="B41" s="917" t="s">
        <v>119</v>
      </c>
      <c r="C41" s="918"/>
      <c r="D41" s="896" t="s">
        <v>279</v>
      </c>
      <c r="E41" s="897"/>
      <c r="F41" s="30">
        <v>2000</v>
      </c>
      <c r="G41" s="31" t="s">
        <v>118</v>
      </c>
      <c r="H41" s="917" t="s">
        <v>71</v>
      </c>
      <c r="I41" s="918"/>
    </row>
    <row r="43" spans="1:11" x14ac:dyDescent="0.25">
      <c r="A43" s="28" t="s">
        <v>69</v>
      </c>
      <c r="B43" s="27">
        <f>((B40*D40*H40)/F41)</f>
        <v>6.9669358132499992</v>
      </c>
      <c r="C43" s="29" t="s">
        <v>72</v>
      </c>
      <c r="D43" s="24"/>
      <c r="E43" s="24"/>
      <c r="F43" s="24"/>
      <c r="G43" s="24"/>
      <c r="H43" s="24"/>
      <c r="I43" s="24"/>
    </row>
    <row r="44" spans="1:11" x14ac:dyDescent="0.25">
      <c r="A44" s="24"/>
      <c r="B44" s="24"/>
      <c r="C44" s="26" t="s">
        <v>279</v>
      </c>
      <c r="D44" s="24"/>
      <c r="E44" s="24"/>
      <c r="F44" s="24"/>
      <c r="G44" s="24"/>
      <c r="H44" s="24"/>
      <c r="I44" s="24"/>
    </row>
    <row r="45" spans="1:11" x14ac:dyDescent="0.25">
      <c r="A45" s="24"/>
      <c r="B45" s="24"/>
      <c r="C45" s="26"/>
      <c r="D45" s="24"/>
      <c r="E45" s="24"/>
      <c r="F45" s="24"/>
      <c r="G45" s="24"/>
      <c r="H45" s="24"/>
      <c r="I45" s="24"/>
    </row>
    <row r="46" spans="1:11" x14ac:dyDescent="0.25">
      <c r="A46" s="24" t="s">
        <v>121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x14ac:dyDescent="0.25">
      <c r="I47" s="325" t="s">
        <v>264</v>
      </c>
    </row>
    <row r="48" spans="1:11" x14ac:dyDescent="0.25">
      <c r="A48" s="28" t="s">
        <v>69</v>
      </c>
      <c r="B48" s="32">
        <f>(157+5.7)*B18</f>
        <v>76.468999999999994</v>
      </c>
      <c r="C48" s="33" t="s">
        <v>118</v>
      </c>
      <c r="D48" s="34">
        <f>D40</f>
        <v>2293641.42</v>
      </c>
      <c r="E48" s="33" t="s">
        <v>71</v>
      </c>
      <c r="F48" s="894" t="s">
        <v>72</v>
      </c>
      <c r="G48" s="895"/>
    </row>
    <row r="49" spans="1:11" x14ac:dyDescent="0.25">
      <c r="A49" s="24"/>
      <c r="B49" s="497">
        <v>1000</v>
      </c>
      <c r="C49" s="498" t="s">
        <v>323</v>
      </c>
      <c r="D49" s="896" t="s">
        <v>279</v>
      </c>
      <c r="E49" s="897"/>
      <c r="F49" s="30">
        <v>2000</v>
      </c>
      <c r="G49" s="31" t="s">
        <v>118</v>
      </c>
    </row>
    <row r="51" spans="1:11" x14ac:dyDescent="0.25">
      <c r="A51" s="28" t="s">
        <v>69</v>
      </c>
      <c r="B51" s="27">
        <f>((B48/B49*D48)/F49)</f>
        <v>87.696232872989995</v>
      </c>
      <c r="C51" s="29" t="s">
        <v>72</v>
      </c>
      <c r="D51" s="24"/>
      <c r="E51" s="24"/>
      <c r="F51" s="24"/>
      <c r="G51" s="24"/>
      <c r="H51" s="24"/>
      <c r="I51" s="24"/>
      <c r="J51" s="24"/>
      <c r="K51" s="24"/>
    </row>
    <row r="52" spans="1:11" x14ac:dyDescent="0.25">
      <c r="A52" s="24"/>
      <c r="B52" s="24"/>
      <c r="C52" s="26" t="s">
        <v>279</v>
      </c>
      <c r="D52" s="24"/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6"/>
      <c r="D53" s="24"/>
      <c r="E53" s="24"/>
      <c r="F53" s="24"/>
      <c r="G53" s="24"/>
      <c r="H53" s="24"/>
      <c r="I53" s="24"/>
      <c r="J53" s="24"/>
      <c r="K53" s="24"/>
    </row>
    <row r="54" spans="1:11" x14ac:dyDescent="0.25">
      <c r="A54" s="24"/>
      <c r="B54" s="24"/>
      <c r="C54" s="26"/>
      <c r="D54" s="24"/>
      <c r="E54" s="24"/>
      <c r="F54" s="24"/>
      <c r="G54" s="24"/>
      <c r="H54" s="24"/>
      <c r="I54" s="24"/>
      <c r="J54" s="24"/>
      <c r="K54" s="24"/>
    </row>
    <row r="55" spans="1:11" x14ac:dyDescent="0.25">
      <c r="A55" s="323" t="s">
        <v>302</v>
      </c>
      <c r="B55" s="24"/>
      <c r="C55" s="24"/>
      <c r="D55" s="24"/>
      <c r="E55" s="24"/>
      <c r="F55" s="24"/>
      <c r="G55" s="24"/>
      <c r="H55" s="24"/>
    </row>
    <row r="57" spans="1:11" x14ac:dyDescent="0.25">
      <c r="A57" s="28" t="s">
        <v>69</v>
      </c>
      <c r="B57" s="59">
        <v>47</v>
      </c>
      <c r="C57" s="33" t="s">
        <v>118</v>
      </c>
      <c r="D57" s="34">
        <f>B16</f>
        <v>0</v>
      </c>
      <c r="E57" s="33" t="s">
        <v>71</v>
      </c>
      <c r="F57" s="894" t="s">
        <v>72</v>
      </c>
      <c r="G57" s="895"/>
      <c r="H57" s="56"/>
    </row>
    <row r="58" spans="1:11" x14ac:dyDescent="0.25">
      <c r="A58" s="24"/>
      <c r="B58" s="30">
        <v>1000</v>
      </c>
      <c r="C58" s="31" t="s">
        <v>71</v>
      </c>
      <c r="D58" s="896" t="s">
        <v>279</v>
      </c>
      <c r="E58" s="897"/>
      <c r="F58" s="30">
        <v>2000</v>
      </c>
      <c r="G58" s="31" t="s">
        <v>118</v>
      </c>
      <c r="H58" s="56"/>
    </row>
    <row r="60" spans="1:11" x14ac:dyDescent="0.25">
      <c r="A60" s="28" t="s">
        <v>69</v>
      </c>
      <c r="B60" s="27">
        <f>((B57/B58)*D57)/F58</f>
        <v>0</v>
      </c>
      <c r="C60" s="29" t="s">
        <v>72</v>
      </c>
      <c r="D60" s="24"/>
      <c r="E60" s="24"/>
      <c r="F60" s="24"/>
      <c r="G60" s="24"/>
      <c r="H60" s="24"/>
    </row>
    <row r="61" spans="1:11" x14ac:dyDescent="0.25">
      <c r="A61" s="24"/>
      <c r="B61" s="24"/>
      <c r="C61" s="26" t="s">
        <v>279</v>
      </c>
      <c r="D61" s="24"/>
      <c r="E61" s="24"/>
      <c r="F61" s="24"/>
      <c r="G61" s="24"/>
      <c r="H61" s="24"/>
    </row>
    <row r="63" spans="1:11" x14ac:dyDescent="0.25">
      <c r="A63" s="323" t="s">
        <v>303</v>
      </c>
      <c r="B63" s="24"/>
      <c r="C63" s="24"/>
      <c r="D63" s="24"/>
      <c r="E63" s="24"/>
      <c r="F63" s="24"/>
      <c r="G63" s="24"/>
      <c r="H63" s="24"/>
    </row>
    <row r="65" spans="1:8" x14ac:dyDescent="0.25">
      <c r="A65" s="28" t="s">
        <v>69</v>
      </c>
      <c r="B65" s="59">
        <v>32</v>
      </c>
      <c r="C65" s="33" t="s">
        <v>118</v>
      </c>
      <c r="D65" s="34">
        <f>B17</f>
        <v>2293641.42</v>
      </c>
      <c r="E65" s="33" t="s">
        <v>71</v>
      </c>
      <c r="F65" s="894" t="s">
        <v>72</v>
      </c>
      <c r="G65" s="895"/>
      <c r="H65" s="56"/>
    </row>
    <row r="66" spans="1:8" x14ac:dyDescent="0.25">
      <c r="A66" s="24"/>
      <c r="B66" s="30">
        <v>1000</v>
      </c>
      <c r="C66" s="31" t="s">
        <v>71</v>
      </c>
      <c r="D66" s="896" t="s">
        <v>279</v>
      </c>
      <c r="E66" s="897"/>
      <c r="F66" s="30">
        <v>2000</v>
      </c>
      <c r="G66" s="31" t="s">
        <v>118</v>
      </c>
      <c r="H66" s="56"/>
    </row>
    <row r="68" spans="1:8" x14ac:dyDescent="0.25">
      <c r="A68" s="28" t="s">
        <v>69</v>
      </c>
      <c r="B68" s="27">
        <f>((B65/B66)*D65)/F66</f>
        <v>36.698262719999995</v>
      </c>
      <c r="C68" s="29" t="s">
        <v>72</v>
      </c>
      <c r="D68" s="24"/>
      <c r="E68" s="24"/>
      <c r="F68" s="24"/>
      <c r="G68" s="24"/>
      <c r="H68" s="24"/>
    </row>
    <row r="69" spans="1:8" x14ac:dyDescent="0.25">
      <c r="A69" s="24"/>
      <c r="B69" s="24"/>
      <c r="C69" s="26" t="s">
        <v>279</v>
      </c>
      <c r="D69" s="24"/>
      <c r="E69" s="24"/>
      <c r="F69" s="24"/>
      <c r="G69" s="24"/>
      <c r="H69" s="24"/>
    </row>
    <row r="71" spans="1:8" x14ac:dyDescent="0.25">
      <c r="A71" s="24" t="s">
        <v>76</v>
      </c>
      <c r="B71" s="24"/>
      <c r="C71" s="24"/>
      <c r="D71" s="24"/>
      <c r="E71" s="24"/>
      <c r="F71" s="24"/>
      <c r="G71" s="24"/>
      <c r="H71" s="24"/>
    </row>
    <row r="73" spans="1:8" x14ac:dyDescent="0.25">
      <c r="A73" s="28" t="s">
        <v>69</v>
      </c>
      <c r="B73" s="35">
        <v>0.76</v>
      </c>
      <c r="C73" s="33" t="s">
        <v>118</v>
      </c>
      <c r="D73" s="34">
        <f>D48</f>
        <v>2293641.42</v>
      </c>
      <c r="E73" s="33" t="s">
        <v>71</v>
      </c>
      <c r="F73" s="894" t="s">
        <v>72</v>
      </c>
      <c r="G73" s="895"/>
      <c r="H73" s="56"/>
    </row>
    <row r="74" spans="1:8" x14ac:dyDescent="0.25">
      <c r="A74" s="24"/>
      <c r="B74" s="30">
        <v>1000</v>
      </c>
      <c r="C74" s="31" t="s">
        <v>71</v>
      </c>
      <c r="D74" s="896" t="s">
        <v>279</v>
      </c>
      <c r="E74" s="897"/>
      <c r="F74" s="30">
        <v>2000</v>
      </c>
      <c r="G74" s="31" t="s">
        <v>118</v>
      </c>
      <c r="H74" s="56"/>
    </row>
    <row r="76" spans="1:8" x14ac:dyDescent="0.25">
      <c r="A76" s="28" t="s">
        <v>69</v>
      </c>
      <c r="B76" s="27">
        <f>((B73/B74)*D73)/F74</f>
        <v>0.87158373960000002</v>
      </c>
      <c r="C76" s="29" t="s">
        <v>72</v>
      </c>
      <c r="D76" s="24"/>
      <c r="E76" s="24"/>
      <c r="F76" s="24"/>
      <c r="G76" s="24"/>
      <c r="H76" s="24"/>
    </row>
    <row r="77" spans="1:8" x14ac:dyDescent="0.25">
      <c r="A77" s="24"/>
      <c r="B77" s="24"/>
      <c r="C77" s="26" t="s">
        <v>279</v>
      </c>
      <c r="D77" s="24"/>
      <c r="E77" s="24"/>
      <c r="F77" s="24"/>
      <c r="G77" s="24"/>
      <c r="H77" s="24"/>
    </row>
    <row r="79" spans="1:8" x14ac:dyDescent="0.25">
      <c r="A79" s="24" t="s">
        <v>77</v>
      </c>
      <c r="B79" s="24"/>
      <c r="C79" s="24"/>
      <c r="D79" s="24"/>
      <c r="E79" s="24"/>
      <c r="F79" s="24"/>
      <c r="G79" s="24"/>
      <c r="H79" s="24"/>
    </row>
    <row r="81" spans="1:8" x14ac:dyDescent="0.25">
      <c r="A81" s="28" t="s">
        <v>69</v>
      </c>
      <c r="B81" s="35">
        <v>5</v>
      </c>
      <c r="C81" s="33" t="s">
        <v>118</v>
      </c>
      <c r="D81" s="34">
        <f>D73</f>
        <v>2293641.42</v>
      </c>
      <c r="E81" s="33" t="s">
        <v>71</v>
      </c>
      <c r="F81" s="894" t="s">
        <v>72</v>
      </c>
      <c r="G81" s="895"/>
      <c r="H81" s="56"/>
    </row>
    <row r="82" spans="1:8" x14ac:dyDescent="0.25">
      <c r="A82" s="24"/>
      <c r="B82" s="30">
        <v>1000</v>
      </c>
      <c r="C82" s="31" t="s">
        <v>71</v>
      </c>
      <c r="D82" s="896" t="s">
        <v>279</v>
      </c>
      <c r="E82" s="897"/>
      <c r="F82" s="30">
        <v>2000</v>
      </c>
      <c r="G82" s="31" t="s">
        <v>118</v>
      </c>
      <c r="H82" s="56"/>
    </row>
    <row r="84" spans="1:8" x14ac:dyDescent="0.25">
      <c r="A84" s="28" t="s">
        <v>69</v>
      </c>
      <c r="B84" s="27">
        <f>((B81/B82)*D81)/F82</f>
        <v>5.7341035499999995</v>
      </c>
      <c r="C84" s="29" t="s">
        <v>72</v>
      </c>
      <c r="D84" s="24"/>
      <c r="E84" s="24"/>
      <c r="F84" s="24"/>
      <c r="G84" s="24"/>
      <c r="H84" s="24"/>
    </row>
    <row r="85" spans="1:8" x14ac:dyDescent="0.25">
      <c r="A85" s="24"/>
      <c r="B85" s="24"/>
      <c r="C85" s="26" t="s">
        <v>279</v>
      </c>
      <c r="D85" s="24"/>
      <c r="E85" s="24"/>
      <c r="F85" s="24"/>
      <c r="G85" s="24"/>
      <c r="H85" s="24"/>
    </row>
    <row r="87" spans="1:8" x14ac:dyDescent="0.25">
      <c r="A87" s="24" t="s">
        <v>78</v>
      </c>
      <c r="B87" s="24"/>
      <c r="C87" s="24"/>
      <c r="D87" s="24"/>
      <c r="E87" s="24"/>
      <c r="F87" s="24"/>
      <c r="G87" s="24"/>
      <c r="H87" s="24"/>
    </row>
    <row r="89" spans="1:8" x14ac:dyDescent="0.25">
      <c r="A89" s="28" t="s">
        <v>69</v>
      </c>
      <c r="B89" s="35">
        <v>1.5100000000000001E-3</v>
      </c>
      <c r="C89" s="33" t="s">
        <v>118</v>
      </c>
      <c r="D89" s="34">
        <f>D81</f>
        <v>2293641.42</v>
      </c>
      <c r="E89" s="33" t="s">
        <v>71</v>
      </c>
      <c r="F89" s="894" t="s">
        <v>72</v>
      </c>
      <c r="G89" s="895"/>
      <c r="H89" s="56"/>
    </row>
    <row r="90" spans="1:8" x14ac:dyDescent="0.25">
      <c r="A90" s="24"/>
      <c r="B90" s="30">
        <v>1000</v>
      </c>
      <c r="C90" s="31" t="s">
        <v>71</v>
      </c>
      <c r="D90" s="896" t="s">
        <v>279</v>
      </c>
      <c r="E90" s="897"/>
      <c r="F90" s="30">
        <v>2000</v>
      </c>
      <c r="G90" s="31" t="s">
        <v>118</v>
      </c>
      <c r="H90" s="56"/>
    </row>
    <row r="92" spans="1:8" x14ac:dyDescent="0.25">
      <c r="A92" s="28" t="s">
        <v>69</v>
      </c>
      <c r="B92" s="27">
        <f>((B89/B90)*D89)/F90</f>
        <v>1.7316992721000003E-3</v>
      </c>
      <c r="C92" s="29" t="s">
        <v>72</v>
      </c>
    </row>
    <row r="93" spans="1:8" x14ac:dyDescent="0.25">
      <c r="A93" s="24"/>
      <c r="B93" s="24"/>
      <c r="C93" s="26" t="s">
        <v>279</v>
      </c>
    </row>
    <row r="96" spans="1:8" x14ac:dyDescent="0.25">
      <c r="A96" s="323" t="s">
        <v>334</v>
      </c>
      <c r="B96" s="24"/>
      <c r="C96" s="24"/>
      <c r="D96" s="24"/>
      <c r="E96" s="24"/>
      <c r="F96" s="24"/>
      <c r="G96" s="24"/>
      <c r="H96" s="24"/>
    </row>
    <row r="98" spans="1:8" x14ac:dyDescent="0.25">
      <c r="A98" s="28" t="s">
        <v>69</v>
      </c>
      <c r="B98" s="32">
        <f>R14</f>
        <v>24.891205852956581</v>
      </c>
      <c r="C98" s="33" t="s">
        <v>118</v>
      </c>
      <c r="D98" s="34">
        <f>D89</f>
        <v>2293641.42</v>
      </c>
      <c r="E98" s="33" t="s">
        <v>71</v>
      </c>
      <c r="F98" s="894" t="s">
        <v>72</v>
      </c>
      <c r="G98" s="895"/>
      <c r="H98" s="56"/>
    </row>
    <row r="99" spans="1:8" x14ac:dyDescent="0.25">
      <c r="A99" s="24"/>
      <c r="B99" s="30"/>
      <c r="C99" s="31" t="s">
        <v>71</v>
      </c>
      <c r="D99" s="896" t="s">
        <v>279</v>
      </c>
      <c r="E99" s="897"/>
      <c r="F99" s="30">
        <v>2000</v>
      </c>
      <c r="G99" s="31" t="s">
        <v>118</v>
      </c>
      <c r="H99" s="56"/>
    </row>
    <row r="101" spans="1:8" x14ac:dyDescent="0.25">
      <c r="A101" s="28" t="s">
        <v>69</v>
      </c>
      <c r="B101" s="27">
        <f>B98*D98/F99</f>
        <v>28545.750369043821</v>
      </c>
      <c r="C101" s="29" t="s">
        <v>72</v>
      </c>
    </row>
    <row r="102" spans="1:8" x14ac:dyDescent="0.25">
      <c r="A102" s="24"/>
      <c r="B102" s="24"/>
      <c r="C102" s="26" t="s">
        <v>279</v>
      </c>
    </row>
  </sheetData>
  <mergeCells count="27">
    <mergeCell ref="F40:G40"/>
    <mergeCell ref="D41:E41"/>
    <mergeCell ref="A1:H1"/>
    <mergeCell ref="F31:G31"/>
    <mergeCell ref="D32:E32"/>
    <mergeCell ref="F23:G23"/>
    <mergeCell ref="D24:E24"/>
    <mergeCell ref="H24:I24"/>
    <mergeCell ref="B24:C24"/>
    <mergeCell ref="B32:C32"/>
    <mergeCell ref="H32:I32"/>
    <mergeCell ref="B41:C41"/>
    <mergeCell ref="H41:I41"/>
    <mergeCell ref="F98:G98"/>
    <mergeCell ref="D99:E99"/>
    <mergeCell ref="F48:G48"/>
    <mergeCell ref="F89:G89"/>
    <mergeCell ref="F57:G57"/>
    <mergeCell ref="D58:E58"/>
    <mergeCell ref="D49:E49"/>
    <mergeCell ref="F65:G65"/>
    <mergeCell ref="D66:E66"/>
    <mergeCell ref="D90:E90"/>
    <mergeCell ref="F81:G81"/>
    <mergeCell ref="D82:E82"/>
    <mergeCell ref="F73:G73"/>
    <mergeCell ref="D74:E74"/>
  </mergeCells>
  <phoneticPr fontId="47" type="noConversion"/>
  <pageMargins left="0.7" right="0.7" top="0.75" bottom="0.75" header="0.3" footer="0.3"/>
  <pageSetup scale="8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83"/>
  <sheetViews>
    <sheetView zoomScaleNormal="100" workbookViewId="0">
      <selection activeCell="K13" sqref="K13"/>
    </sheetView>
  </sheetViews>
  <sheetFormatPr defaultRowHeight="15" x14ac:dyDescent="0.25"/>
  <cols>
    <col min="1" max="2" width="18.28515625" customWidth="1"/>
    <col min="3" max="3" width="16.5703125" customWidth="1"/>
    <col min="4" max="4" width="12.42578125" customWidth="1"/>
    <col min="5" max="5" width="11.5703125" customWidth="1"/>
    <col min="6" max="6" width="13.5703125" customWidth="1"/>
    <col min="7" max="7" width="4.85546875" customWidth="1"/>
    <col min="8" max="8" width="8.42578125" bestFit="1" customWidth="1"/>
    <col min="9" max="9" width="8.28515625" bestFit="1" customWidth="1"/>
    <col min="10" max="10" width="5.5703125" bestFit="1" customWidth="1"/>
    <col min="11" max="11" width="3.42578125" bestFit="1" customWidth="1"/>
    <col min="12" max="12" width="4.5703125" bestFit="1" customWidth="1"/>
    <col min="13" max="13" width="12.7109375" bestFit="1" customWidth="1"/>
    <col min="14" max="14" width="8.5703125" bestFit="1" customWidth="1"/>
    <col min="15" max="15" width="9.140625" bestFit="1" customWidth="1"/>
    <col min="16" max="16" width="8.28515625" bestFit="1" customWidth="1"/>
    <col min="17" max="17" width="1.7109375" bestFit="1" customWidth="1"/>
    <col min="18" max="18" width="8" bestFit="1" customWidth="1"/>
    <col min="19" max="19" width="8.28515625" bestFit="1" customWidth="1"/>
    <col min="20" max="20" width="5.5703125" bestFit="1" customWidth="1"/>
    <col min="21" max="21" width="3.42578125" bestFit="1" customWidth="1"/>
  </cols>
  <sheetData>
    <row r="1" spans="1:24" x14ac:dyDescent="0.25">
      <c r="A1" s="900" t="s">
        <v>427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</row>
    <row r="2" spans="1:24" ht="15.75" thickBot="1" x14ac:dyDescent="0.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4" ht="45.95" customHeight="1" thickBot="1" x14ac:dyDescent="0.3">
      <c r="A3" s="152" t="s">
        <v>159</v>
      </c>
      <c r="B3" s="151" t="s">
        <v>269</v>
      </c>
      <c r="C3" s="151" t="s">
        <v>304</v>
      </c>
      <c r="D3" s="150" t="s">
        <v>274</v>
      </c>
      <c r="E3" s="150" t="s">
        <v>174</v>
      </c>
      <c r="M3" s="70"/>
      <c r="N3" s="70"/>
      <c r="O3" s="70"/>
      <c r="P3" s="70"/>
    </row>
    <row r="4" spans="1:24" x14ac:dyDescent="0.25">
      <c r="A4" s="149" t="s">
        <v>57</v>
      </c>
      <c r="B4" s="486">
        <v>9.2099392372881367E-2</v>
      </c>
      <c r="C4" s="486">
        <v>0.10805849351186443</v>
      </c>
      <c r="D4" s="34">
        <f>B23</f>
        <v>46.497611008015532</v>
      </c>
      <c r="E4" s="91">
        <f>F23</f>
        <v>10.615892924204459</v>
      </c>
      <c r="J4" s="55"/>
      <c r="K4" s="142"/>
      <c r="L4" s="142"/>
      <c r="M4" s="70"/>
      <c r="N4" s="70"/>
      <c r="O4" s="70"/>
      <c r="P4" s="70"/>
    </row>
    <row r="5" spans="1:24" x14ac:dyDescent="0.25">
      <c r="A5" s="146" t="s">
        <v>61</v>
      </c>
      <c r="B5" s="486">
        <v>2.242967653780327E-2</v>
      </c>
      <c r="C5" s="486">
        <v>9.442636306037016E-3</v>
      </c>
      <c r="D5" s="144">
        <f>B29</f>
        <v>10.876315407742622</v>
      </c>
      <c r="E5" s="143">
        <f>F29</f>
        <v>2.483177033731192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24" x14ac:dyDescent="0.25">
      <c r="A6" s="146" t="s">
        <v>59</v>
      </c>
      <c r="B6" s="145">
        <v>2.0999999999999999E-3</v>
      </c>
      <c r="C6" s="145">
        <v>8.3000000000000001E-3</v>
      </c>
      <c r="D6" s="144">
        <f>B35</f>
        <v>1.2150271714291201</v>
      </c>
      <c r="E6" s="143">
        <f>F35</f>
        <v>0.27740346379660275</v>
      </c>
      <c r="F6" s="901" t="s">
        <v>169</v>
      </c>
      <c r="G6" s="902"/>
      <c r="H6" s="902"/>
      <c r="I6" s="902"/>
      <c r="J6" s="902"/>
      <c r="K6" s="902"/>
      <c r="L6" s="902"/>
      <c r="M6" s="902"/>
      <c r="N6" s="902"/>
      <c r="O6" s="161"/>
      <c r="P6" s="161"/>
    </row>
    <row r="7" spans="1:24" x14ac:dyDescent="0.25">
      <c r="A7" s="146" t="s">
        <v>54</v>
      </c>
      <c r="B7" s="145">
        <v>6.6E-3</v>
      </c>
      <c r="C7" s="145">
        <v>2.8400000000000002E-2</v>
      </c>
      <c r="D7" s="144">
        <f>B41</f>
        <v>3.8800477194955203</v>
      </c>
      <c r="E7" s="143">
        <f>F41</f>
        <v>0.88585564372043835</v>
      </c>
      <c r="F7" s="160" t="s">
        <v>275</v>
      </c>
      <c r="G7" s="485" t="s">
        <v>305</v>
      </c>
      <c r="I7" s="141"/>
      <c r="J7" s="141"/>
      <c r="K7" s="141"/>
      <c r="L7" s="141"/>
      <c r="M7" s="141"/>
      <c r="N7" s="141"/>
      <c r="O7" s="141"/>
      <c r="P7" s="141"/>
    </row>
    <row r="8" spans="1:24" x14ac:dyDescent="0.25">
      <c r="A8" s="146" t="s">
        <v>113</v>
      </c>
      <c r="B8" s="145">
        <v>6.6E-3</v>
      </c>
      <c r="C8" s="145">
        <v>3.5700000000000003E-2</v>
      </c>
      <c r="D8" s="144">
        <f>B47</f>
        <v>4.0736943080575205</v>
      </c>
      <c r="E8" s="147">
        <f>F47</f>
        <v>0.93006719362043844</v>
      </c>
      <c r="F8" s="157"/>
      <c r="G8" s="485" t="s">
        <v>308</v>
      </c>
      <c r="H8" s="141"/>
      <c r="I8" s="141"/>
      <c r="J8" s="141"/>
      <c r="K8" s="141"/>
      <c r="L8" s="141"/>
      <c r="M8" s="141"/>
      <c r="N8" s="141"/>
      <c r="O8" s="141"/>
    </row>
    <row r="9" spans="1:24" x14ac:dyDescent="0.25">
      <c r="A9" s="146" t="s">
        <v>155</v>
      </c>
      <c r="B9" s="145">
        <v>6.6E-3</v>
      </c>
      <c r="C9" s="145">
        <v>3.5700000000000003E-2</v>
      </c>
      <c r="D9" s="144">
        <f>B53</f>
        <v>4.0736943080575205</v>
      </c>
      <c r="E9" s="143">
        <f>F53</f>
        <v>0.93006719362043844</v>
      </c>
      <c r="F9" s="31"/>
      <c r="G9" s="141" t="s">
        <v>160</v>
      </c>
      <c r="H9" s="141"/>
      <c r="I9" s="141"/>
      <c r="J9" s="141"/>
      <c r="K9" s="141"/>
      <c r="L9" s="141"/>
      <c r="M9" s="141"/>
      <c r="N9" s="141"/>
      <c r="O9" s="141"/>
    </row>
    <row r="10" spans="1:24" x14ac:dyDescent="0.25">
      <c r="A10" s="146" t="s">
        <v>141</v>
      </c>
      <c r="B10" s="145">
        <v>2.8E-3</v>
      </c>
      <c r="C10" s="484" t="s">
        <v>307</v>
      </c>
      <c r="D10" s="144">
        <f>B59</f>
        <v>1.3462977646733159</v>
      </c>
      <c r="E10" s="143">
        <f>F59</f>
        <v>0.30737391887518623</v>
      </c>
      <c r="F10" s="31"/>
      <c r="G10" s="31"/>
      <c r="H10" s="157"/>
      <c r="I10" s="157"/>
      <c r="J10" s="157"/>
      <c r="K10" s="157"/>
      <c r="L10" s="157"/>
      <c r="M10" s="157"/>
      <c r="N10" s="157"/>
      <c r="O10" s="157"/>
      <c r="P10" s="157"/>
    </row>
    <row r="11" spans="1:24" x14ac:dyDescent="0.25">
      <c r="A11" s="146" t="s">
        <v>114</v>
      </c>
      <c r="B11" s="145">
        <v>4.2999999999999999E-4</v>
      </c>
      <c r="C11" s="145">
        <v>7.7000000000000002E-3</v>
      </c>
      <c r="D11" s="144">
        <f>B65</f>
        <v>0.40796548947069605</v>
      </c>
      <c r="E11" s="143">
        <f>F65</f>
        <v>9.3142805815227409E-2</v>
      </c>
      <c r="F11" s="163" t="s">
        <v>170</v>
      </c>
      <c r="G11" s="141" t="s">
        <v>278</v>
      </c>
      <c r="H11" s="141"/>
      <c r="I11" s="141"/>
      <c r="J11" s="141"/>
      <c r="K11" s="141"/>
      <c r="L11" s="141"/>
      <c r="N11" s="157"/>
      <c r="O11" s="157"/>
      <c r="P11" s="157"/>
      <c r="V11" t="s">
        <v>328</v>
      </c>
      <c r="W11">
        <f>(73.96+0.003*25+0.0006*298)*2.2046*0.138</f>
        <v>22.578420600240001</v>
      </c>
      <c r="X11" t="s">
        <v>329</v>
      </c>
    </row>
    <row r="12" spans="1:24" x14ac:dyDescent="0.25">
      <c r="A12" s="146" t="s">
        <v>63</v>
      </c>
      <c r="B12" s="145">
        <v>0</v>
      </c>
      <c r="C12" s="145">
        <v>9.0000000000000002E-6</v>
      </c>
      <c r="D12" s="144">
        <f>B71</f>
        <v>2.3874236946000001E-4</v>
      </c>
      <c r="E12" s="143">
        <f>F71</f>
        <v>5.4507390287671232E-5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W12">
        <f>(475409.8+224+267)*2204.62/8707340462.38</f>
        <v>0.12049378638965323</v>
      </c>
      <c r="X12" t="s">
        <v>330</v>
      </c>
    </row>
    <row r="13" spans="1:24" x14ac:dyDescent="0.25">
      <c r="A13" s="500" t="s">
        <v>328</v>
      </c>
      <c r="B13" s="501" t="s">
        <v>336</v>
      </c>
      <c r="C13" s="501" t="s">
        <v>331</v>
      </c>
      <c r="D13" s="508">
        <f>B77</f>
        <v>60303.55495262469</v>
      </c>
      <c r="E13" s="509">
        <f>F77</f>
        <v>13767.934920690568</v>
      </c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4" ht="15.75" thickBot="1" x14ac:dyDescent="0.3">
      <c r="A14" s="153" t="s">
        <v>156</v>
      </c>
      <c r="B14" s="154">
        <v>0</v>
      </c>
      <c r="C14" s="468">
        <v>0</v>
      </c>
      <c r="D14" s="155">
        <v>0</v>
      </c>
      <c r="E14" s="156">
        <v>0</v>
      </c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24" x14ac:dyDescent="0.25">
      <c r="A15" s="158"/>
      <c r="B15" s="158"/>
      <c r="C15" s="158"/>
      <c r="D15" s="158"/>
      <c r="E15" s="55"/>
      <c r="H15" s="70"/>
      <c r="I15" s="70"/>
      <c r="J15" s="70"/>
      <c r="K15" s="70"/>
      <c r="L15" s="70"/>
      <c r="M15" s="70"/>
      <c r="N15" s="70"/>
      <c r="O15" s="70"/>
      <c r="P15" s="70"/>
    </row>
    <row r="16" spans="1:24" x14ac:dyDescent="0.25">
      <c r="A16" s="329" t="s">
        <v>350</v>
      </c>
      <c r="B16" s="159">
        <f>'San Juan'!D24</f>
        <v>384448.26</v>
      </c>
      <c r="C16" s="159"/>
      <c r="D16" s="470" t="s">
        <v>268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21" x14ac:dyDescent="0.25">
      <c r="A17" s="330" t="s">
        <v>351</v>
      </c>
      <c r="B17" s="162">
        <f>'San Juan'!N24</f>
        <v>928901636.72000003</v>
      </c>
      <c r="C17" s="162"/>
      <c r="D17" s="472" t="s">
        <v>271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21" x14ac:dyDescent="0.25">
      <c r="A18" s="194" t="s">
        <v>306</v>
      </c>
      <c r="B18" s="193">
        <f>'San Juan'!F24</f>
        <v>7.3999999999999999E-4</v>
      </c>
      <c r="D18" t="s">
        <v>127</v>
      </c>
      <c r="M18" s="70"/>
      <c r="N18" s="70"/>
      <c r="O18" s="70"/>
      <c r="P18" s="70"/>
    </row>
    <row r="19" spans="1:2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0" spans="1:21" ht="15.75" x14ac:dyDescent="0.25">
      <c r="A20" s="136" t="s">
        <v>182</v>
      </c>
      <c r="B20" s="164">
        <f>B16</f>
        <v>384448.26</v>
      </c>
      <c r="C20" s="469"/>
      <c r="D20" s="165" t="s">
        <v>171</v>
      </c>
      <c r="E20" s="140">
        <v>0.13800000000000001</v>
      </c>
      <c r="F20" s="167" t="s">
        <v>172</v>
      </c>
      <c r="G20" s="896" t="s">
        <v>183</v>
      </c>
      <c r="H20" s="137">
        <f>C4</f>
        <v>0.10805849351186443</v>
      </c>
      <c r="I20" s="169" t="s">
        <v>177</v>
      </c>
      <c r="J20" s="137">
        <v>1</v>
      </c>
      <c r="K20" s="137" t="s">
        <v>72</v>
      </c>
      <c r="L20" s="139" t="s">
        <v>173</v>
      </c>
      <c r="M20" s="473">
        <f>B17</f>
        <v>928901636.72000003</v>
      </c>
      <c r="N20" s="167" t="s">
        <v>175</v>
      </c>
      <c r="O20" s="164">
        <v>1020</v>
      </c>
      <c r="P20" s="165" t="s">
        <v>176</v>
      </c>
      <c r="Q20" s="896" t="s">
        <v>183</v>
      </c>
      <c r="R20" s="137">
        <f>B4</f>
        <v>9.2099392372881367E-2</v>
      </c>
      <c r="S20" s="169" t="s">
        <v>177</v>
      </c>
      <c r="T20" s="137">
        <v>1</v>
      </c>
      <c r="U20" s="137" t="s">
        <v>72</v>
      </c>
    </row>
    <row r="21" spans="1:21" x14ac:dyDescent="0.25">
      <c r="A21" s="31"/>
      <c r="B21" s="30"/>
      <c r="C21" s="31"/>
      <c r="D21" s="475" t="s">
        <v>279</v>
      </c>
      <c r="E21" s="31"/>
      <c r="F21" s="63" t="s">
        <v>71</v>
      </c>
      <c r="G21" s="896"/>
      <c r="H21" s="70"/>
      <c r="I21" s="170" t="s">
        <v>119</v>
      </c>
      <c r="J21" s="171">
        <v>2000</v>
      </c>
      <c r="K21" s="70" t="s">
        <v>118</v>
      </c>
      <c r="L21" s="31"/>
      <c r="M21" s="31"/>
      <c r="N21" s="63" t="s">
        <v>279</v>
      </c>
      <c r="O21" s="474">
        <v>1000000</v>
      </c>
      <c r="P21" s="166" t="s">
        <v>31</v>
      </c>
      <c r="Q21" s="896"/>
      <c r="R21" s="70"/>
      <c r="S21" s="170" t="s">
        <v>119</v>
      </c>
      <c r="T21" s="171">
        <v>2000</v>
      </c>
      <c r="U21" s="70" t="s">
        <v>118</v>
      </c>
    </row>
    <row r="22" spans="1:2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1" x14ac:dyDescent="0.25">
      <c r="A23" s="136"/>
      <c r="B23" s="67">
        <f>(B20*E20*H20+M20*O20*R20/1000000)/2000</f>
        <v>46.497611008015532</v>
      </c>
      <c r="C23" s="67"/>
      <c r="D23" s="70" t="s">
        <v>280</v>
      </c>
      <c r="E23" s="136" t="s">
        <v>69</v>
      </c>
      <c r="F23" s="55">
        <f>B23*(2000/8760)</f>
        <v>10.615892924204459</v>
      </c>
      <c r="G23" s="70" t="s">
        <v>161</v>
      </c>
      <c r="H23" s="22"/>
      <c r="I23" s="70"/>
      <c r="J23" s="70"/>
      <c r="K23" s="70"/>
      <c r="L23" s="70"/>
      <c r="M23" s="70"/>
      <c r="N23" s="70"/>
      <c r="O23" s="70"/>
      <c r="P23" s="70"/>
    </row>
    <row r="24" spans="1:21" x14ac:dyDescent="0.25">
      <c r="A24" s="70"/>
      <c r="B24" s="70"/>
      <c r="C24" s="70"/>
      <c r="D24" s="70"/>
      <c r="E24" s="70"/>
      <c r="F24" s="70"/>
      <c r="G24" s="70"/>
      <c r="H24" s="69"/>
      <c r="I24" s="69"/>
      <c r="J24" s="69"/>
      <c r="K24" s="70"/>
      <c r="L24" s="70"/>
      <c r="M24" s="70"/>
      <c r="N24" s="70"/>
      <c r="O24" s="70"/>
      <c r="P24" s="70"/>
    </row>
    <row r="25" spans="1:2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25">
      <c r="A26" s="136" t="s">
        <v>162</v>
      </c>
      <c r="B26" s="164">
        <f>B16</f>
        <v>384448.26</v>
      </c>
      <c r="C26" s="469"/>
      <c r="D26" s="165" t="s">
        <v>171</v>
      </c>
      <c r="E26" s="140">
        <v>0.13800000000000001</v>
      </c>
      <c r="F26" s="167" t="s">
        <v>172</v>
      </c>
      <c r="G26" s="896" t="s">
        <v>183</v>
      </c>
      <c r="H26" s="137">
        <f>C5</f>
        <v>9.442636306037016E-3</v>
      </c>
      <c r="I26" s="169" t="s">
        <v>177</v>
      </c>
      <c r="J26" s="137">
        <v>1</v>
      </c>
      <c r="K26" s="137" t="s">
        <v>72</v>
      </c>
      <c r="L26" s="139" t="s">
        <v>173</v>
      </c>
      <c r="M26" s="473">
        <f>B17</f>
        <v>928901636.72000003</v>
      </c>
      <c r="N26" s="165" t="s">
        <v>175</v>
      </c>
      <c r="O26" s="138">
        <v>1020</v>
      </c>
      <c r="P26" s="165" t="s">
        <v>176</v>
      </c>
      <c r="Q26" s="30" t="s">
        <v>183</v>
      </c>
      <c r="R26" s="137">
        <f>B5</f>
        <v>2.242967653780327E-2</v>
      </c>
      <c r="S26" s="169" t="s">
        <v>177</v>
      </c>
      <c r="T26" s="168">
        <v>1</v>
      </c>
      <c r="U26" s="137" t="s">
        <v>72</v>
      </c>
    </row>
    <row r="27" spans="1:21" x14ac:dyDescent="0.25">
      <c r="A27" s="31"/>
      <c r="B27" s="30"/>
      <c r="C27" s="31"/>
      <c r="D27" s="166" t="s">
        <v>279</v>
      </c>
      <c r="E27" s="31"/>
      <c r="F27" s="172" t="s">
        <v>71</v>
      </c>
      <c r="G27" s="896"/>
      <c r="H27" s="70"/>
      <c r="I27" s="170" t="s">
        <v>119</v>
      </c>
      <c r="J27" s="171">
        <v>2000</v>
      </c>
      <c r="K27" s="70" t="s">
        <v>118</v>
      </c>
      <c r="L27" s="31"/>
      <c r="M27" s="31"/>
      <c r="N27" s="166" t="s">
        <v>279</v>
      </c>
      <c r="O27" s="476">
        <v>1000000</v>
      </c>
      <c r="P27" s="166" t="s">
        <v>31</v>
      </c>
      <c r="Q27" s="30"/>
      <c r="R27" s="70"/>
      <c r="S27" s="170" t="s">
        <v>119</v>
      </c>
      <c r="T27" s="173">
        <v>2000</v>
      </c>
      <c r="U27" s="70" t="s">
        <v>118</v>
      </c>
    </row>
    <row r="28" spans="1:2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1" x14ac:dyDescent="0.25">
      <c r="A29" s="136"/>
      <c r="B29" s="67">
        <f>(B26*E26*H26+M26*O26*R26/1000000)/2000</f>
        <v>10.876315407742622</v>
      </c>
      <c r="C29" s="67"/>
      <c r="D29" s="70" t="s">
        <v>280</v>
      </c>
      <c r="E29" s="136" t="s">
        <v>69</v>
      </c>
      <c r="F29" s="55">
        <f>B29*(2000/8760)</f>
        <v>2.483177033731192</v>
      </c>
      <c r="G29" s="70" t="s">
        <v>161</v>
      </c>
      <c r="I29" s="70"/>
      <c r="J29" s="70"/>
      <c r="K29" s="70"/>
      <c r="L29" s="70"/>
      <c r="M29" s="70"/>
      <c r="N29" s="70"/>
      <c r="O29" s="70"/>
      <c r="P29" s="70"/>
    </row>
    <row r="30" spans="1:2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1" x14ac:dyDescent="0.25">
      <c r="A32" s="136" t="s">
        <v>163</v>
      </c>
      <c r="B32" s="164">
        <f>B16</f>
        <v>384448.26</v>
      </c>
      <c r="C32" s="469"/>
      <c r="D32" s="165" t="s">
        <v>171</v>
      </c>
      <c r="E32" s="140">
        <v>0.13800000000000001</v>
      </c>
      <c r="F32" s="167" t="s">
        <v>172</v>
      </c>
      <c r="G32" s="896" t="s">
        <v>183</v>
      </c>
      <c r="H32" s="137">
        <f>C6</f>
        <v>8.3000000000000001E-3</v>
      </c>
      <c r="I32" s="169" t="s">
        <v>177</v>
      </c>
      <c r="J32" s="137">
        <v>1</v>
      </c>
      <c r="K32" s="137" t="s">
        <v>72</v>
      </c>
      <c r="L32" s="139" t="s">
        <v>173</v>
      </c>
      <c r="M32" s="473">
        <f>B17</f>
        <v>928901636.72000003</v>
      </c>
      <c r="N32" s="165" t="s">
        <v>175</v>
      </c>
      <c r="O32" s="138">
        <v>1020</v>
      </c>
      <c r="P32" s="165" t="s">
        <v>176</v>
      </c>
      <c r="Q32" s="30" t="s">
        <v>183</v>
      </c>
      <c r="R32" s="137">
        <f>B6</f>
        <v>2.0999999999999999E-3</v>
      </c>
      <c r="S32" s="169" t="s">
        <v>177</v>
      </c>
      <c r="T32" s="137">
        <v>1</v>
      </c>
      <c r="U32" s="137" t="s">
        <v>72</v>
      </c>
    </row>
    <row r="33" spans="1:21" x14ac:dyDescent="0.25">
      <c r="A33" s="31"/>
      <c r="B33" s="30"/>
      <c r="C33" s="31"/>
      <c r="D33" s="166" t="s">
        <v>279</v>
      </c>
      <c r="E33" s="31"/>
      <c r="F33" s="63" t="s">
        <v>71</v>
      </c>
      <c r="G33" s="896"/>
      <c r="H33" s="70"/>
      <c r="I33" s="170" t="s">
        <v>119</v>
      </c>
      <c r="J33" s="171">
        <v>2000</v>
      </c>
      <c r="K33" s="70" t="s">
        <v>118</v>
      </c>
      <c r="L33" s="31"/>
      <c r="M33" s="31"/>
      <c r="N33" s="166" t="s">
        <v>279</v>
      </c>
      <c r="O33" s="476">
        <v>1000000</v>
      </c>
      <c r="P33" s="166" t="s">
        <v>31</v>
      </c>
      <c r="Q33" s="30"/>
      <c r="R33" s="70"/>
      <c r="S33" s="170" t="s">
        <v>119</v>
      </c>
      <c r="T33" s="171">
        <v>2000</v>
      </c>
      <c r="U33" s="70" t="s">
        <v>118</v>
      </c>
    </row>
    <row r="34" spans="1:2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21" x14ac:dyDescent="0.25">
      <c r="A35" s="136"/>
      <c r="B35" s="67">
        <f>(B32*E32*H32+M32*O32*R32/1000000)/2000</f>
        <v>1.2150271714291201</v>
      </c>
      <c r="C35" s="67"/>
      <c r="D35" s="70" t="s">
        <v>280</v>
      </c>
      <c r="E35" s="136" t="s">
        <v>69</v>
      </c>
      <c r="F35" s="55">
        <f>B35*(2000/8760)</f>
        <v>0.27740346379660275</v>
      </c>
      <c r="G35" s="70" t="s">
        <v>161</v>
      </c>
      <c r="I35" s="70"/>
      <c r="J35" s="70"/>
      <c r="K35" s="70"/>
      <c r="L35" s="70"/>
      <c r="M35" s="70"/>
      <c r="N35" s="70"/>
      <c r="O35" s="70"/>
      <c r="P35" s="70"/>
    </row>
    <row r="36" spans="1:2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2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21" x14ac:dyDescent="0.25">
      <c r="A38" s="136" t="s">
        <v>164</v>
      </c>
      <c r="B38" s="164">
        <f>B16</f>
        <v>384448.26</v>
      </c>
      <c r="C38" s="469"/>
      <c r="D38" s="165" t="s">
        <v>171</v>
      </c>
      <c r="E38" s="140">
        <v>0.13800000000000001</v>
      </c>
      <c r="F38" s="167" t="s">
        <v>172</v>
      </c>
      <c r="G38" s="896" t="s">
        <v>183</v>
      </c>
      <c r="H38" s="137">
        <f>C7</f>
        <v>2.8400000000000002E-2</v>
      </c>
      <c r="I38" s="169" t="s">
        <v>177</v>
      </c>
      <c r="J38" s="137">
        <v>1</v>
      </c>
      <c r="K38" s="137" t="s">
        <v>72</v>
      </c>
      <c r="L38" s="139" t="s">
        <v>173</v>
      </c>
      <c r="M38" s="473">
        <f>B17</f>
        <v>928901636.72000003</v>
      </c>
      <c r="N38" s="165" t="s">
        <v>175</v>
      </c>
      <c r="O38" s="138">
        <v>1020</v>
      </c>
      <c r="P38" s="165" t="s">
        <v>176</v>
      </c>
      <c r="Q38" s="30" t="s">
        <v>183</v>
      </c>
      <c r="R38" s="137">
        <f>B7</f>
        <v>6.6E-3</v>
      </c>
      <c r="S38" s="169" t="s">
        <v>177</v>
      </c>
      <c r="T38" s="137">
        <v>1</v>
      </c>
      <c r="U38" s="137" t="s">
        <v>72</v>
      </c>
    </row>
    <row r="39" spans="1:21" x14ac:dyDescent="0.25">
      <c r="A39" s="31"/>
      <c r="B39" s="30"/>
      <c r="C39" s="31"/>
      <c r="D39" s="166" t="s">
        <v>279</v>
      </c>
      <c r="E39" s="31"/>
      <c r="F39" s="63" t="s">
        <v>71</v>
      </c>
      <c r="G39" s="896"/>
      <c r="H39" s="70"/>
      <c r="I39" s="170" t="s">
        <v>119</v>
      </c>
      <c r="J39" s="171">
        <v>2000</v>
      </c>
      <c r="K39" s="70" t="s">
        <v>118</v>
      </c>
      <c r="L39" s="31"/>
      <c r="M39" s="31"/>
      <c r="N39" s="166" t="s">
        <v>279</v>
      </c>
      <c r="O39" s="476">
        <v>1000000</v>
      </c>
      <c r="P39" s="166" t="s">
        <v>31</v>
      </c>
      <c r="Q39" s="30"/>
      <c r="R39" s="70"/>
      <c r="S39" s="170" t="s">
        <v>119</v>
      </c>
      <c r="T39" s="171">
        <v>2000</v>
      </c>
      <c r="U39" s="70" t="s">
        <v>118</v>
      </c>
    </row>
    <row r="40" spans="1:21" x14ac:dyDescent="0.25">
      <c r="A40" s="70"/>
      <c r="B40" s="70"/>
      <c r="C40" s="70"/>
      <c r="D40" s="70"/>
      <c r="E40" s="70"/>
      <c r="F40" s="70"/>
      <c r="L40" s="70"/>
      <c r="M40" s="70"/>
      <c r="N40" s="70"/>
      <c r="O40" s="70"/>
      <c r="P40" s="70"/>
      <c r="Q40" s="70"/>
      <c r="R40" s="70"/>
      <c r="S40" s="70"/>
      <c r="T40" s="70"/>
      <c r="U40" s="70"/>
    </row>
    <row r="41" spans="1:21" x14ac:dyDescent="0.25">
      <c r="A41" s="136"/>
      <c r="B41" s="67">
        <f>(B38*E38*H38+M38*O38*R38/1000000)/2000</f>
        <v>3.8800477194955203</v>
      </c>
      <c r="C41" s="67"/>
      <c r="D41" s="70" t="s">
        <v>280</v>
      </c>
      <c r="E41" s="136" t="s">
        <v>69</v>
      </c>
      <c r="F41" s="55">
        <f>B41*(2000/8760)</f>
        <v>0.88585564372043835</v>
      </c>
      <c r="G41" s="70" t="s">
        <v>161</v>
      </c>
      <c r="L41" s="70" t="s">
        <v>161</v>
      </c>
      <c r="N41" s="70"/>
      <c r="O41" s="70"/>
      <c r="P41" s="70"/>
      <c r="Q41" s="70"/>
      <c r="R41" s="70"/>
      <c r="S41" s="70"/>
      <c r="T41" s="70"/>
      <c r="U41" s="70"/>
    </row>
    <row r="42" spans="1:21" x14ac:dyDescent="0.25">
      <c r="A42" s="136"/>
      <c r="B42" s="67"/>
      <c r="C42" s="67"/>
      <c r="D42" s="70"/>
      <c r="E42" s="136"/>
      <c r="F42" s="55"/>
      <c r="L42" s="70"/>
      <c r="N42" s="70"/>
      <c r="O42" s="70"/>
      <c r="P42" s="70"/>
      <c r="Q42" s="70"/>
      <c r="R42" s="70"/>
      <c r="S42" s="70"/>
      <c r="T42" s="70"/>
      <c r="U42" s="70"/>
    </row>
    <row r="43" spans="1:21" x14ac:dyDescent="0.25">
      <c r="A43" s="136"/>
      <c r="B43" s="67"/>
      <c r="C43" s="67"/>
      <c r="D43" s="70"/>
      <c r="E43" s="136"/>
      <c r="F43" s="55"/>
      <c r="L43" s="70"/>
      <c r="N43" s="70"/>
      <c r="O43" s="70"/>
      <c r="P43" s="70"/>
      <c r="Q43" s="70"/>
      <c r="R43" s="70"/>
      <c r="S43" s="70"/>
      <c r="T43" s="70"/>
      <c r="U43" s="70"/>
    </row>
    <row r="44" spans="1:21" ht="15.75" x14ac:dyDescent="0.25">
      <c r="A44" s="136" t="s">
        <v>178</v>
      </c>
      <c r="B44" s="164">
        <f>B16</f>
        <v>384448.26</v>
      </c>
      <c r="C44" s="469"/>
      <c r="D44" s="165" t="s">
        <v>171</v>
      </c>
      <c r="E44" s="140">
        <v>0.13800000000000001</v>
      </c>
      <c r="F44" s="167" t="s">
        <v>172</v>
      </c>
      <c r="G44" s="896" t="s">
        <v>183</v>
      </c>
      <c r="H44" s="137">
        <f>C8</f>
        <v>3.5700000000000003E-2</v>
      </c>
      <c r="I44" s="169" t="s">
        <v>177</v>
      </c>
      <c r="J44" s="137">
        <v>1</v>
      </c>
      <c r="K44" s="137" t="s">
        <v>72</v>
      </c>
      <c r="L44" s="139" t="s">
        <v>173</v>
      </c>
      <c r="M44" s="473">
        <f>B17</f>
        <v>928901636.72000003</v>
      </c>
      <c r="N44" s="165" t="s">
        <v>175</v>
      </c>
      <c r="O44" s="138">
        <v>1020</v>
      </c>
      <c r="P44" s="165" t="s">
        <v>176</v>
      </c>
      <c r="Q44" s="30" t="s">
        <v>183</v>
      </c>
      <c r="R44" s="137">
        <f>B8</f>
        <v>6.6E-3</v>
      </c>
      <c r="S44" s="169" t="s">
        <v>177</v>
      </c>
      <c r="T44" s="137">
        <v>1</v>
      </c>
      <c r="U44" s="137" t="s">
        <v>72</v>
      </c>
    </row>
    <row r="45" spans="1:21" x14ac:dyDescent="0.25">
      <c r="A45" s="31"/>
      <c r="B45" s="30"/>
      <c r="C45" s="31"/>
      <c r="D45" s="166" t="s">
        <v>279</v>
      </c>
      <c r="E45" s="31"/>
      <c r="F45" s="63" t="s">
        <v>71</v>
      </c>
      <c r="G45" s="896"/>
      <c r="H45" s="70"/>
      <c r="I45" s="170" t="s">
        <v>119</v>
      </c>
      <c r="J45" s="171">
        <v>2000</v>
      </c>
      <c r="K45" s="70" t="s">
        <v>118</v>
      </c>
      <c r="L45" s="31"/>
      <c r="M45" s="31"/>
      <c r="N45" s="166" t="s">
        <v>279</v>
      </c>
      <c r="O45" s="476">
        <v>1000000</v>
      </c>
      <c r="P45" s="166" t="s">
        <v>31</v>
      </c>
      <c r="Q45" s="30"/>
      <c r="R45" s="70"/>
      <c r="S45" s="170" t="s">
        <v>119</v>
      </c>
      <c r="T45" s="171">
        <v>2000</v>
      </c>
      <c r="U45" s="70" t="s">
        <v>118</v>
      </c>
    </row>
    <row r="46" spans="1:21" x14ac:dyDescent="0.25">
      <c r="A46" s="70"/>
      <c r="B46" s="70"/>
      <c r="C46" s="70"/>
      <c r="D46" s="70"/>
      <c r="E46" s="70"/>
      <c r="F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1" x14ac:dyDescent="0.25">
      <c r="A47" s="136"/>
      <c r="B47" s="67">
        <f>(B44*E44*H44+M44*O44*R44/1000000)/2000</f>
        <v>4.0736943080575205</v>
      </c>
      <c r="C47" s="67"/>
      <c r="D47" s="70" t="s">
        <v>280</v>
      </c>
      <c r="E47" s="136" t="s">
        <v>69</v>
      </c>
      <c r="F47" s="55">
        <f>B47*(2000/8760)</f>
        <v>0.93006719362043844</v>
      </c>
      <c r="G47" s="70" t="s">
        <v>161</v>
      </c>
      <c r="L47" s="70" t="s">
        <v>161</v>
      </c>
      <c r="N47" s="70"/>
      <c r="O47" s="70"/>
      <c r="P47" s="70"/>
      <c r="Q47" s="70"/>
      <c r="R47" s="70"/>
      <c r="S47" s="70"/>
      <c r="T47" s="70"/>
      <c r="U47" s="70"/>
    </row>
    <row r="48" spans="1:21" x14ac:dyDescent="0.25">
      <c r="A48" s="70"/>
      <c r="B48" s="70"/>
      <c r="C48" s="70"/>
      <c r="D48" s="70"/>
      <c r="E48" s="70"/>
      <c r="F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25">
      <c r="A49" s="70"/>
      <c r="B49" s="70"/>
      <c r="C49" s="70"/>
      <c r="D49" s="70"/>
      <c r="E49" s="70"/>
      <c r="F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ht="15.75" x14ac:dyDescent="0.25">
      <c r="A50" s="136" t="s">
        <v>179</v>
      </c>
      <c r="B50" s="164">
        <f>B16</f>
        <v>384448.26</v>
      </c>
      <c r="C50" s="469"/>
      <c r="D50" s="165" t="s">
        <v>171</v>
      </c>
      <c r="E50" s="140">
        <v>0.13800000000000001</v>
      </c>
      <c r="F50" s="167" t="s">
        <v>172</v>
      </c>
      <c r="G50" s="896" t="s">
        <v>183</v>
      </c>
      <c r="H50" s="137">
        <f>C9</f>
        <v>3.5700000000000003E-2</v>
      </c>
      <c r="I50" s="169" t="s">
        <v>177</v>
      </c>
      <c r="J50" s="137">
        <v>1</v>
      </c>
      <c r="K50" s="137" t="s">
        <v>72</v>
      </c>
      <c r="L50" s="139" t="s">
        <v>173</v>
      </c>
      <c r="M50" s="473">
        <f>B17</f>
        <v>928901636.72000003</v>
      </c>
      <c r="N50" s="165" t="s">
        <v>175</v>
      </c>
      <c r="O50" s="138">
        <v>1020</v>
      </c>
      <c r="P50" s="165" t="s">
        <v>176</v>
      </c>
      <c r="Q50" s="30" t="s">
        <v>183</v>
      </c>
      <c r="R50" s="137">
        <f>B9</f>
        <v>6.6E-3</v>
      </c>
      <c r="S50" s="169" t="s">
        <v>177</v>
      </c>
      <c r="T50" s="137">
        <v>1</v>
      </c>
      <c r="U50" s="137" t="s">
        <v>72</v>
      </c>
    </row>
    <row r="51" spans="1:21" x14ac:dyDescent="0.25">
      <c r="A51" s="31"/>
      <c r="B51" s="30"/>
      <c r="C51" s="31"/>
      <c r="D51" s="166" t="s">
        <v>279</v>
      </c>
      <c r="E51" s="31"/>
      <c r="F51" s="63" t="s">
        <v>71</v>
      </c>
      <c r="G51" s="896"/>
      <c r="H51" s="70"/>
      <c r="I51" s="170" t="s">
        <v>119</v>
      </c>
      <c r="J51" s="171">
        <v>2000</v>
      </c>
      <c r="K51" s="70" t="s">
        <v>118</v>
      </c>
      <c r="L51" s="31"/>
      <c r="M51" s="31"/>
      <c r="N51" s="166" t="s">
        <v>279</v>
      </c>
      <c r="O51" s="476">
        <v>1000000</v>
      </c>
      <c r="P51" s="166" t="s">
        <v>31</v>
      </c>
      <c r="Q51" s="30"/>
      <c r="R51" s="70"/>
      <c r="S51" s="170" t="s">
        <v>119</v>
      </c>
      <c r="T51" s="171">
        <v>2000</v>
      </c>
      <c r="U51" s="70" t="s">
        <v>118</v>
      </c>
    </row>
    <row r="52" spans="1:21" x14ac:dyDescent="0.25">
      <c r="A52" s="70"/>
      <c r="B52" s="70"/>
      <c r="C52" s="70"/>
      <c r="D52" s="70"/>
      <c r="E52" s="70"/>
      <c r="F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25">
      <c r="A53" s="136"/>
      <c r="B53" s="67">
        <f>(B50*E50*H50+M50*O50*R50/1000000)/2000</f>
        <v>4.0736943080575205</v>
      </c>
      <c r="C53" s="67"/>
      <c r="D53" s="70" t="s">
        <v>280</v>
      </c>
      <c r="E53" s="136" t="s">
        <v>69</v>
      </c>
      <c r="F53" s="55">
        <f>B53*(2000/8760)</f>
        <v>0.93006719362043844</v>
      </c>
      <c r="G53" s="70" t="s">
        <v>161</v>
      </c>
      <c r="L53" s="70" t="s">
        <v>161</v>
      </c>
      <c r="N53" s="70"/>
      <c r="O53" s="70"/>
      <c r="P53" s="70"/>
      <c r="Q53" s="70"/>
      <c r="R53" s="70"/>
      <c r="S53" s="70"/>
      <c r="T53" s="70"/>
      <c r="U53" s="70"/>
    </row>
    <row r="54" spans="1:21" x14ac:dyDescent="0.25">
      <c r="A54" s="70"/>
      <c r="B54" s="70"/>
      <c r="C54" s="70"/>
      <c r="D54" s="70"/>
      <c r="E54" s="70"/>
      <c r="F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25">
      <c r="A55" s="70"/>
      <c r="B55" s="70"/>
      <c r="C55" s="70"/>
      <c r="D55" s="70"/>
      <c r="E55" s="70"/>
      <c r="F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ht="15.75" x14ac:dyDescent="0.25">
      <c r="A56" s="136" t="s">
        <v>180</v>
      </c>
      <c r="B56" s="164">
        <f>B16</f>
        <v>384448.26</v>
      </c>
      <c r="C56" s="469"/>
      <c r="D56" s="165" t="s">
        <v>171</v>
      </c>
      <c r="E56" s="140">
        <v>0.13800000000000001</v>
      </c>
      <c r="F56" s="167" t="s">
        <v>172</v>
      </c>
      <c r="G56" s="896" t="s">
        <v>183</v>
      </c>
      <c r="H56" s="137">
        <f>1.01*B18</f>
        <v>7.4739999999999995E-4</v>
      </c>
      <c r="I56" s="169" t="s">
        <v>177</v>
      </c>
      <c r="J56" s="137">
        <v>1</v>
      </c>
      <c r="K56" s="137" t="s">
        <v>72</v>
      </c>
      <c r="L56" s="139" t="s">
        <v>173</v>
      </c>
      <c r="M56" s="473">
        <f>B17</f>
        <v>928901636.72000003</v>
      </c>
      <c r="N56" s="165" t="s">
        <v>175</v>
      </c>
      <c r="O56" s="138">
        <v>1020</v>
      </c>
      <c r="P56" s="165" t="s">
        <v>176</v>
      </c>
      <c r="Q56" s="30" t="s">
        <v>183</v>
      </c>
      <c r="R56" s="137">
        <f>B10</f>
        <v>2.8E-3</v>
      </c>
      <c r="S56" s="169" t="s">
        <v>177</v>
      </c>
      <c r="T56" s="137">
        <v>1</v>
      </c>
      <c r="U56" s="137" t="s">
        <v>72</v>
      </c>
    </row>
    <row r="57" spans="1:21" x14ac:dyDescent="0.25">
      <c r="A57" s="31"/>
      <c r="B57" s="30"/>
      <c r="C57" s="31"/>
      <c r="D57" s="166" t="s">
        <v>279</v>
      </c>
      <c r="E57" s="31"/>
      <c r="F57" s="63" t="s">
        <v>71</v>
      </c>
      <c r="G57" s="896"/>
      <c r="H57" s="70"/>
      <c r="I57" s="170" t="s">
        <v>119</v>
      </c>
      <c r="J57" s="171">
        <v>2000</v>
      </c>
      <c r="K57" s="70" t="s">
        <v>118</v>
      </c>
      <c r="L57" s="31"/>
      <c r="M57" s="31"/>
      <c r="N57" s="166" t="s">
        <v>279</v>
      </c>
      <c r="O57" s="476">
        <v>1000000</v>
      </c>
      <c r="P57" s="166" t="s">
        <v>31</v>
      </c>
      <c r="Q57" s="30"/>
      <c r="R57" s="70"/>
      <c r="S57" s="170" t="s">
        <v>119</v>
      </c>
      <c r="T57" s="171">
        <v>2000</v>
      </c>
      <c r="U57" s="70" t="s">
        <v>118</v>
      </c>
    </row>
    <row r="58" spans="1:21" x14ac:dyDescent="0.25">
      <c r="A58" s="70"/>
      <c r="B58" s="70"/>
      <c r="C58" s="70"/>
      <c r="D58" s="70"/>
      <c r="E58" s="70"/>
      <c r="F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25">
      <c r="A59" s="136"/>
      <c r="B59" s="67">
        <f>(B56*E56*H56+M56*O56*R56/1000000)/2000</f>
        <v>1.3462977646733159</v>
      </c>
      <c r="C59" s="67"/>
      <c r="D59" s="70" t="s">
        <v>280</v>
      </c>
      <c r="E59" s="136" t="s">
        <v>69</v>
      </c>
      <c r="F59" s="55">
        <f>B59*(2000/8760)</f>
        <v>0.30737391887518623</v>
      </c>
      <c r="G59" s="70" t="s">
        <v>161</v>
      </c>
      <c r="L59" s="70" t="s">
        <v>161</v>
      </c>
      <c r="N59" s="70"/>
      <c r="O59" s="70"/>
      <c r="P59" s="70"/>
      <c r="Q59" s="70"/>
      <c r="R59" s="70"/>
      <c r="S59" s="70"/>
      <c r="T59" s="70"/>
      <c r="U59" s="70"/>
    </row>
    <row r="60" spans="1:21" x14ac:dyDescent="0.25">
      <c r="A60" s="70"/>
      <c r="B60" s="70"/>
      <c r="C60" s="70"/>
      <c r="D60" s="70"/>
      <c r="E60" s="70"/>
      <c r="F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25">
      <c r="A61" s="70"/>
      <c r="B61" s="70"/>
      <c r="C61" s="70"/>
      <c r="D61" s="70"/>
      <c r="E61" s="70"/>
      <c r="F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ht="15.75" x14ac:dyDescent="0.25">
      <c r="A62" s="136" t="s">
        <v>181</v>
      </c>
      <c r="B62" s="164">
        <f>B16</f>
        <v>384448.26</v>
      </c>
      <c r="C62" s="469"/>
      <c r="D62" s="165" t="s">
        <v>171</v>
      </c>
      <c r="E62" s="140">
        <v>0.13800000000000001</v>
      </c>
      <c r="F62" s="167" t="s">
        <v>172</v>
      </c>
      <c r="G62" s="896" t="s">
        <v>183</v>
      </c>
      <c r="H62" s="137">
        <f>C11</f>
        <v>7.7000000000000002E-3</v>
      </c>
      <c r="I62" s="169" t="s">
        <v>177</v>
      </c>
      <c r="J62" s="137">
        <v>1</v>
      </c>
      <c r="K62" s="137" t="s">
        <v>72</v>
      </c>
      <c r="L62" s="139" t="s">
        <v>173</v>
      </c>
      <c r="M62" s="473">
        <f>B17</f>
        <v>928901636.72000003</v>
      </c>
      <c r="N62" s="165" t="s">
        <v>175</v>
      </c>
      <c r="O62" s="138">
        <v>1020</v>
      </c>
      <c r="P62" s="165" t="s">
        <v>176</v>
      </c>
      <c r="Q62" s="30" t="s">
        <v>183</v>
      </c>
      <c r="R62" s="137">
        <f>B11</f>
        <v>4.2999999999999999E-4</v>
      </c>
      <c r="S62" s="169" t="s">
        <v>177</v>
      </c>
      <c r="T62" s="137">
        <v>1</v>
      </c>
      <c r="U62" s="137" t="s">
        <v>72</v>
      </c>
    </row>
    <row r="63" spans="1:21" x14ac:dyDescent="0.25">
      <c r="A63" s="31"/>
      <c r="B63" s="30"/>
      <c r="C63" s="31"/>
      <c r="D63" s="166" t="s">
        <v>279</v>
      </c>
      <c r="E63" s="31"/>
      <c r="F63" s="63" t="s">
        <v>71</v>
      </c>
      <c r="G63" s="896"/>
      <c r="H63" s="70"/>
      <c r="I63" s="170" t="s">
        <v>119</v>
      </c>
      <c r="J63" s="171">
        <v>2000</v>
      </c>
      <c r="K63" s="70" t="s">
        <v>118</v>
      </c>
      <c r="L63" s="31"/>
      <c r="M63" s="31"/>
      <c r="N63" s="166" t="s">
        <v>279</v>
      </c>
      <c r="O63" s="476">
        <v>1000000</v>
      </c>
      <c r="P63" s="166" t="s">
        <v>31</v>
      </c>
      <c r="Q63" s="30"/>
      <c r="R63" s="70"/>
      <c r="S63" s="170" t="s">
        <v>119</v>
      </c>
      <c r="T63" s="171">
        <v>2000</v>
      </c>
      <c r="U63" s="70" t="s">
        <v>118</v>
      </c>
    </row>
    <row r="64" spans="1:21" x14ac:dyDescent="0.25">
      <c r="A64" s="70"/>
      <c r="B64" s="70"/>
      <c r="C64" s="70"/>
      <c r="D64" s="70"/>
      <c r="E64" s="70"/>
      <c r="F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  <row r="65" spans="1:21" x14ac:dyDescent="0.25">
      <c r="A65" s="136"/>
      <c r="B65" s="67">
        <f>(B62*E62*H62+M62*O62*R62/1000000)/2000</f>
        <v>0.40796548947069605</v>
      </c>
      <c r="C65" s="67"/>
      <c r="D65" s="70" t="s">
        <v>280</v>
      </c>
      <c r="E65" s="136" t="s">
        <v>69</v>
      </c>
      <c r="F65" s="55">
        <f>B65*(2000/8760)</f>
        <v>9.3142805815227409E-2</v>
      </c>
      <c r="G65" s="70" t="s">
        <v>161</v>
      </c>
      <c r="L65" s="70" t="s">
        <v>161</v>
      </c>
      <c r="N65" s="70"/>
      <c r="O65" s="70"/>
      <c r="P65" s="70"/>
      <c r="Q65" s="70"/>
      <c r="R65" s="70"/>
      <c r="S65" s="70"/>
      <c r="T65" s="70"/>
      <c r="U65" s="70"/>
    </row>
    <row r="66" spans="1:21" x14ac:dyDescent="0.25">
      <c r="A66" s="70"/>
      <c r="B66" s="70"/>
      <c r="C66" s="70"/>
      <c r="D66" s="70"/>
      <c r="E66" s="70"/>
      <c r="F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1:21" x14ac:dyDescent="0.25">
      <c r="A67" s="70"/>
      <c r="B67" s="70"/>
      <c r="C67" s="70"/>
      <c r="D67" s="70"/>
      <c r="E67" s="70"/>
      <c r="F67" s="70"/>
      <c r="L67" s="70"/>
      <c r="M67" s="70"/>
      <c r="N67" s="70"/>
      <c r="O67" s="70"/>
      <c r="P67" s="70"/>
      <c r="Q67" s="70"/>
      <c r="R67" s="70"/>
      <c r="S67" s="70"/>
      <c r="T67" s="70"/>
      <c r="U67" s="70"/>
    </row>
    <row r="68" spans="1:21" x14ac:dyDescent="0.25">
      <c r="A68" s="136" t="s">
        <v>165</v>
      </c>
      <c r="B68" s="164">
        <f>B16</f>
        <v>384448.26</v>
      </c>
      <c r="C68" s="469"/>
      <c r="D68" s="165" t="s">
        <v>171</v>
      </c>
      <c r="E68" s="140">
        <v>0.13800000000000001</v>
      </c>
      <c r="F68" s="167" t="s">
        <v>172</v>
      </c>
      <c r="G68" s="896" t="s">
        <v>183</v>
      </c>
      <c r="H68" s="477">
        <f>C12</f>
        <v>9.0000000000000002E-6</v>
      </c>
      <c r="I68" s="169" t="s">
        <v>177</v>
      </c>
      <c r="J68" s="137">
        <v>1</v>
      </c>
      <c r="K68" s="137" t="s">
        <v>72</v>
      </c>
      <c r="L68" s="139" t="s">
        <v>173</v>
      </c>
      <c r="M68" s="473">
        <f>B17</f>
        <v>928901636.72000003</v>
      </c>
      <c r="N68" s="165" t="s">
        <v>175</v>
      </c>
      <c r="O68" s="138">
        <v>1020</v>
      </c>
      <c r="P68" s="165" t="s">
        <v>176</v>
      </c>
      <c r="Q68" s="30" t="s">
        <v>183</v>
      </c>
      <c r="R68" s="137">
        <f>B12</f>
        <v>0</v>
      </c>
      <c r="S68" s="169" t="s">
        <v>177</v>
      </c>
      <c r="T68" s="137">
        <v>1</v>
      </c>
      <c r="U68" s="137" t="s">
        <v>72</v>
      </c>
    </row>
    <row r="69" spans="1:21" x14ac:dyDescent="0.25">
      <c r="A69" s="31"/>
      <c r="B69" s="30"/>
      <c r="C69" s="31"/>
      <c r="D69" s="166" t="s">
        <v>279</v>
      </c>
      <c r="E69" s="31"/>
      <c r="F69" s="63" t="s">
        <v>71</v>
      </c>
      <c r="G69" s="896"/>
      <c r="H69" s="70"/>
      <c r="I69" s="170" t="s">
        <v>119</v>
      </c>
      <c r="J69" s="171">
        <v>2000</v>
      </c>
      <c r="K69" s="70" t="s">
        <v>118</v>
      </c>
      <c r="L69" s="31"/>
      <c r="M69" s="31"/>
      <c r="N69" s="166" t="s">
        <v>279</v>
      </c>
      <c r="O69" s="476">
        <v>1000000</v>
      </c>
      <c r="P69" s="166" t="s">
        <v>31</v>
      </c>
      <c r="Q69" s="30"/>
      <c r="R69" s="70"/>
      <c r="S69" s="170" t="s">
        <v>119</v>
      </c>
      <c r="T69" s="171">
        <v>2000</v>
      </c>
      <c r="U69" s="70" t="s">
        <v>118</v>
      </c>
    </row>
    <row r="70" spans="1:2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21" x14ac:dyDescent="0.25">
      <c r="A71" s="136"/>
      <c r="B71" s="67">
        <f>(B68*E68*H68+M68*O68*R68/1000000)/2000</f>
        <v>2.3874236946000001E-4</v>
      </c>
      <c r="C71" s="67"/>
      <c r="D71" s="70" t="s">
        <v>280</v>
      </c>
      <c r="E71" s="136" t="s">
        <v>69</v>
      </c>
      <c r="F71" s="55">
        <f>B71*(2000/8760)</f>
        <v>5.4507390287671232E-5</v>
      </c>
      <c r="G71" s="70" t="s">
        <v>161</v>
      </c>
      <c r="I71" s="70"/>
      <c r="J71" s="70"/>
      <c r="K71" s="70"/>
      <c r="L71" s="70"/>
      <c r="M71" s="70"/>
      <c r="N71" s="70"/>
      <c r="O71" s="70"/>
      <c r="P71" s="70"/>
    </row>
    <row r="74" spans="1:21" x14ac:dyDescent="0.25">
      <c r="A74" s="502" t="s">
        <v>332</v>
      </c>
      <c r="B74" s="164">
        <f>B16</f>
        <v>384448.26</v>
      </c>
      <c r="C74" s="469"/>
      <c r="D74" s="165" t="s">
        <v>171</v>
      </c>
      <c r="E74" s="503">
        <f>W11</f>
        <v>22.578420600240001</v>
      </c>
      <c r="F74" s="504" t="s">
        <v>118</v>
      </c>
      <c r="G74" s="896" t="s">
        <v>183</v>
      </c>
      <c r="H74" s="137">
        <v>1</v>
      </c>
      <c r="I74" s="137" t="s">
        <v>72</v>
      </c>
      <c r="J74" s="139" t="s">
        <v>173</v>
      </c>
      <c r="M74" s="473">
        <f>B17</f>
        <v>928901636.72000003</v>
      </c>
      <c r="N74" s="165" t="s">
        <v>175</v>
      </c>
      <c r="O74" s="506">
        <f>W12</f>
        <v>0.12049378638965323</v>
      </c>
      <c r="P74" s="507" t="s">
        <v>118</v>
      </c>
      <c r="Q74" s="30" t="s">
        <v>183</v>
      </c>
      <c r="R74" s="137">
        <v>1</v>
      </c>
      <c r="S74" s="137" t="s">
        <v>72</v>
      </c>
    </row>
    <row r="75" spans="1:21" x14ac:dyDescent="0.25">
      <c r="A75" s="31"/>
      <c r="B75" s="30"/>
      <c r="C75" s="31"/>
      <c r="D75" s="166" t="s">
        <v>279</v>
      </c>
      <c r="E75" s="31"/>
      <c r="F75" s="505" t="s">
        <v>71</v>
      </c>
      <c r="G75" s="896"/>
      <c r="H75" s="171">
        <v>2000</v>
      </c>
      <c r="I75" s="70" t="s">
        <v>118</v>
      </c>
      <c r="J75" s="31"/>
      <c r="M75" s="31"/>
      <c r="N75" s="166" t="s">
        <v>279</v>
      </c>
      <c r="O75" s="476"/>
      <c r="P75" s="166" t="s">
        <v>31</v>
      </c>
      <c r="Q75" s="30"/>
      <c r="R75" s="171">
        <v>2000</v>
      </c>
      <c r="S75" s="70" t="s">
        <v>118</v>
      </c>
    </row>
    <row r="76" spans="1:21" x14ac:dyDescent="0.25">
      <c r="A76" s="70"/>
      <c r="B76" s="70"/>
      <c r="C76" s="70"/>
      <c r="D76" s="70"/>
      <c r="E76" s="70"/>
      <c r="F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1:21" x14ac:dyDescent="0.25">
      <c r="A77" s="136"/>
      <c r="B77" s="67">
        <f>(B74*E74+M74*O74)/H75</f>
        <v>60303.55495262469</v>
      </c>
      <c r="C77" s="67"/>
      <c r="D77" s="70" t="s">
        <v>280</v>
      </c>
      <c r="E77" s="136" t="s">
        <v>69</v>
      </c>
      <c r="F77" s="55">
        <f>B77*(2000/8760)</f>
        <v>13767.934920690568</v>
      </c>
      <c r="G77" s="70" t="s">
        <v>161</v>
      </c>
      <c r="L77" s="70"/>
      <c r="N77" s="70"/>
      <c r="O77" s="70"/>
      <c r="P77" s="70"/>
      <c r="Q77" s="70"/>
      <c r="R77" s="70"/>
      <c r="S77" s="70"/>
      <c r="T77" s="70"/>
      <c r="U77" s="70"/>
    </row>
    <row r="78" spans="1:21" x14ac:dyDescent="0.25">
      <c r="A78" s="70"/>
      <c r="B78" s="70"/>
      <c r="C78" s="70"/>
      <c r="D78" s="70"/>
      <c r="E78" s="70"/>
      <c r="F78" s="70"/>
      <c r="L78" s="70"/>
      <c r="M78" s="70"/>
      <c r="N78" s="70"/>
      <c r="O78" s="70"/>
      <c r="P78" s="70"/>
      <c r="Q78" s="70"/>
      <c r="R78" s="70"/>
      <c r="S78" s="70"/>
      <c r="T78" s="70"/>
      <c r="U78" s="70"/>
    </row>
    <row r="79" spans="1:21" x14ac:dyDescent="0.25">
      <c r="A79" s="70"/>
      <c r="B79" s="70"/>
      <c r="C79" s="70"/>
      <c r="D79" s="70"/>
      <c r="E79" s="70"/>
      <c r="F79" s="70"/>
      <c r="L79" s="70"/>
      <c r="M79" s="70"/>
      <c r="N79" s="70"/>
      <c r="O79" s="70"/>
      <c r="P79" s="70"/>
      <c r="Q79" s="70"/>
      <c r="R79" s="70"/>
      <c r="S79" s="70"/>
      <c r="T79" s="70"/>
      <c r="U79" s="70"/>
    </row>
    <row r="80" spans="1:21" x14ac:dyDescent="0.25">
      <c r="A80" s="24"/>
      <c r="B80" s="62" t="s">
        <v>166</v>
      </c>
      <c r="C80" s="62"/>
      <c r="D80" s="62"/>
      <c r="E80" s="62"/>
      <c r="F80" s="62"/>
      <c r="G80" s="62"/>
      <c r="H80" s="62"/>
      <c r="I80" s="62"/>
      <c r="J80" s="62"/>
      <c r="K80" s="24"/>
      <c r="L80" s="24"/>
      <c r="M80" s="24"/>
      <c r="N80" s="24"/>
      <c r="O80" s="24"/>
      <c r="P80" s="24"/>
    </row>
    <row r="81" spans="2:10" x14ac:dyDescent="0.25">
      <c r="B81" s="62" t="s">
        <v>167</v>
      </c>
      <c r="C81" s="62"/>
      <c r="D81" s="62"/>
      <c r="E81" s="62"/>
      <c r="F81" s="62"/>
      <c r="G81" s="62"/>
      <c r="H81" s="62"/>
      <c r="I81" s="62"/>
      <c r="J81" s="62"/>
    </row>
    <row r="82" spans="2:10" x14ac:dyDescent="0.25">
      <c r="B82" s="62" t="s">
        <v>168</v>
      </c>
      <c r="C82" s="62"/>
      <c r="D82" s="62"/>
      <c r="E82" s="62"/>
      <c r="F82" s="62"/>
      <c r="G82" s="62"/>
      <c r="H82" s="62"/>
      <c r="I82" s="62"/>
      <c r="J82" s="62"/>
    </row>
    <row r="83" spans="2:10" x14ac:dyDescent="0.25">
      <c r="B83" s="62" t="s">
        <v>287</v>
      </c>
      <c r="C83" s="62"/>
      <c r="D83" s="24"/>
      <c r="E83" s="24"/>
      <c r="F83" s="24"/>
      <c r="G83" s="24"/>
      <c r="H83" s="24"/>
      <c r="I83" s="24"/>
      <c r="J83" s="24"/>
    </row>
  </sheetData>
  <mergeCells count="13">
    <mergeCell ref="G74:G75"/>
    <mergeCell ref="A1:P1"/>
    <mergeCell ref="F6:N6"/>
    <mergeCell ref="G20:G21"/>
    <mergeCell ref="Q20:Q21"/>
    <mergeCell ref="G26:G27"/>
    <mergeCell ref="G32:G33"/>
    <mergeCell ref="G44:G45"/>
    <mergeCell ref="G62:G63"/>
    <mergeCell ref="G68:G69"/>
    <mergeCell ref="G38:G39"/>
    <mergeCell ref="G56:G57"/>
    <mergeCell ref="G50:G51"/>
  </mergeCells>
  <pageMargins left="0.7" right="0.7" top="0.75" bottom="0.75" header="0.3" footer="0.3"/>
  <pageSetup scale="75" fitToWidth="0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985e37-4d14-49b1-85af-18f353798ba1" xsi:nil="true"/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B0F09-595E-4459-8DDA-5A22CA616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39A403-1F7D-4FE0-90FA-3AF1D58542D3}"/>
</file>

<file path=customXml/itemProps3.xml><?xml version="1.0" encoding="utf-8"?>
<ds:datastoreItem xmlns:ds="http://schemas.openxmlformats.org/officeDocument/2006/customXml" ds:itemID="{362C1E6D-865C-4D3C-A40E-C01AACF36D76}">
  <ds:schemaRefs>
    <ds:schemaRef ds:uri="http://schemas.microsoft.com/office/2006/metadata/properties"/>
    <ds:schemaRef ds:uri="http://schemas.microsoft.com/office/infopath/2007/PartnerControls"/>
    <ds:schemaRef ds:uri="38e21102-dd60-4809-91ae-b2c512d67e7b"/>
    <ds:schemaRef ds:uri="6a48a5ae-ca03-467e-8b7d-7d1327958846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Costa Sur</vt:lpstr>
      <vt:lpstr>Turbinas CS</vt:lpstr>
      <vt:lpstr>Calculos CS 3 y 4</vt:lpstr>
      <vt:lpstr>CS 5</vt:lpstr>
      <vt:lpstr>CS6</vt:lpstr>
      <vt:lpstr>Tabla JCA CS</vt:lpstr>
      <vt:lpstr>San Juan</vt:lpstr>
      <vt:lpstr>Cálculos SJ</vt:lpstr>
      <vt:lpstr>Cálculos SJ5</vt:lpstr>
      <vt:lpstr>Cálculos SJ6</vt:lpstr>
      <vt:lpstr>Tabla JCA SJ</vt:lpstr>
      <vt:lpstr>Aguirre</vt:lpstr>
      <vt:lpstr>Cálculos AG</vt:lpstr>
      <vt:lpstr>Tabla JCA AG</vt:lpstr>
      <vt:lpstr>Palo Seco</vt:lpstr>
      <vt:lpstr>Cálculos PS</vt:lpstr>
      <vt:lpstr>MPs PS</vt:lpstr>
      <vt:lpstr>Tabla JCA PS</vt:lpstr>
      <vt:lpstr>Turbinas</vt:lpstr>
      <vt:lpstr>Cálculos Cambalache (60%)</vt:lpstr>
      <vt:lpstr>CEMS Cambalache</vt:lpstr>
      <vt:lpstr>Tabla JCA Cambalache</vt:lpstr>
      <vt:lpstr>Cálculos Daguao</vt:lpstr>
      <vt:lpstr>Tabla JCA Daguao</vt:lpstr>
      <vt:lpstr>Cálculos Yabucoa</vt:lpstr>
      <vt:lpstr>Tabla JCA Yabucoa</vt:lpstr>
      <vt:lpstr>Cálculos Vega Baja</vt:lpstr>
      <vt:lpstr>Tabla JCA Vega Baja</vt:lpstr>
      <vt:lpstr>Cálculos Jobos</vt:lpstr>
      <vt:lpstr>Tabla JCA Jobos</vt:lpstr>
      <vt:lpstr>Cálculos Mayagüez</vt:lpstr>
      <vt:lpstr>Tabla JCA Mayagüez</vt:lpstr>
      <vt:lpstr>'Cálculos AG'!Print_Area</vt:lpstr>
      <vt:lpstr>'Calculos CS 3 y 4'!Print_Area</vt:lpstr>
      <vt:lpstr>'Cálculos Daguao'!Print_Area</vt:lpstr>
      <vt:lpstr>'Cálculos Jobos'!Print_Area</vt:lpstr>
      <vt:lpstr>'Cálculos Mayagüez'!Print_Area</vt:lpstr>
      <vt:lpstr>'Cálculos PS'!Print_Area</vt:lpstr>
      <vt:lpstr>'Cálculos SJ'!Print_Area</vt:lpstr>
      <vt:lpstr>'Cálculos SJ5'!Print_Area</vt:lpstr>
      <vt:lpstr>'Cálculos SJ6'!Print_Area</vt:lpstr>
      <vt:lpstr>'Cálculos Vega Baja'!Print_Area</vt:lpstr>
      <vt:lpstr>'Cálculos Yabucoa'!Print_Area</vt:lpstr>
      <vt:lpstr>'CEMS Cambalache'!Print_Area</vt:lpstr>
      <vt:lpstr>'CS 5'!Print_Area</vt:lpstr>
      <vt:lpstr>'CS6'!Print_Area</vt:lpstr>
      <vt:lpstr>'Tabla JCA PS'!Print_Area</vt:lpstr>
      <vt:lpstr>'Turbinas CS'!Print_Area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RAMOS CARO</dc:creator>
  <cp:lastModifiedBy>Samuel Rosario Machado</cp:lastModifiedBy>
  <cp:lastPrinted>2026-03-11T14:47:05Z</cp:lastPrinted>
  <dcterms:created xsi:type="dcterms:W3CDTF">2016-02-02T19:19:47Z</dcterms:created>
  <dcterms:modified xsi:type="dcterms:W3CDTF">2026-03-19T14:32:27Z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2025-03-18T14:36:45Z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31289701-2511-4b48-b59d-bfc969d3a983</vt:lpwstr>
  </property>
  <property fmtid="{D5CDD505-2E9C-101B-9397-08002B2CF9AE}" pid="9" name="MSIP_Label_defa4170-0d19-0005-0004-bc88714345d2_ActionId">
    <vt:lpwstr>ce20f094-af67-4830-9e2b-00504b3297ad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