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mlawoffice-my.sharepoint.com/personal/nzayas_gmlex_net/Documents/Documents/NEPR/NEPR-MI-2021-0002/"/>
    </mc:Choice>
  </mc:AlternateContent>
  <xr:revisionPtr revIDLastSave="0" documentId="8_{7FD24E0E-1EBD-4D11-8926-278F114184B2}" xr6:coauthVersionLast="47" xr6:coauthVersionMax="47" xr10:uidLastSave="{00000000-0000-0000-0000-000000000000}"/>
  <bookViews>
    <workbookView xWindow="-110" yWindow="-110" windowWidth="19420" windowHeight="10300" xr2:uid="{77677D73-4D8D-4CE7-9854-CDA70FFF3130}"/>
  </bookViews>
  <sheets>
    <sheet name="Projects" sheetId="3" r:id="rId1"/>
    <sheet name="Cost" sheetId="1" state="hidden" r:id="rId2"/>
    <sheet name="Sheet1" sheetId="2" r:id="rId3"/>
  </sheets>
  <externalReferences>
    <externalReference r:id="rId4"/>
  </externalReferences>
  <definedNames>
    <definedName name="_xlnm.Print_Area" localSheetId="1">Table1[#All]</definedName>
    <definedName name="_xlnm.Print_Area" localSheetId="0">Table13[#All]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F13" i="3"/>
  <c r="F14" i="3"/>
  <c r="F15" i="3"/>
  <c r="F16" i="3"/>
  <c r="F17" i="3"/>
  <c r="F18" i="3"/>
  <c r="F19" i="3"/>
  <c r="F20" i="3"/>
  <c r="F21" i="3"/>
  <c r="F10" i="3"/>
  <c r="F11" i="3"/>
  <c r="F8" i="3"/>
  <c r="F9" i="3"/>
  <c r="F2" i="3"/>
  <c r="F3" i="3"/>
  <c r="F4" i="3"/>
  <c r="F5" i="3"/>
  <c r="F6" i="3"/>
  <c r="F7" i="3"/>
  <c r="C22" i="3"/>
  <c r="I21" i="3" l="1"/>
  <c r="I20" i="3"/>
  <c r="I19" i="3"/>
  <c r="I18" i="3"/>
  <c r="I16" i="3"/>
  <c r="I15" i="3"/>
  <c r="C15" i="3"/>
  <c r="I14" i="3"/>
  <c r="I13" i="3"/>
  <c r="I3" i="3"/>
  <c r="I12" i="3"/>
  <c r="I11" i="3"/>
  <c r="I10" i="3"/>
  <c r="I9" i="3"/>
  <c r="I8" i="3"/>
  <c r="I7" i="3"/>
  <c r="I6" i="3"/>
  <c r="I5" i="3"/>
  <c r="I4" i="3"/>
  <c r="I2" i="3"/>
  <c r="J22" i="1"/>
  <c r="K22" i="1"/>
  <c r="L22" i="1"/>
  <c r="J23" i="1"/>
  <c r="L23" i="1"/>
  <c r="K23" i="1" l="1"/>
  <c r="M20" i="1"/>
  <c r="M21" i="1"/>
  <c r="M2" i="1"/>
  <c r="M3" i="1"/>
  <c r="M18" i="1"/>
  <c r="M19" i="1"/>
  <c r="M15" i="1"/>
  <c r="M16" i="1"/>
  <c r="M4" i="1"/>
  <c r="M5" i="1"/>
  <c r="M6" i="1"/>
  <c r="M7" i="1"/>
  <c r="M8" i="1"/>
  <c r="M9" i="1"/>
  <c r="M10" i="1"/>
  <c r="M11" i="1"/>
  <c r="M12" i="1"/>
  <c r="M13" i="1"/>
  <c r="M14" i="1"/>
  <c r="A16" i="1"/>
  <c r="A17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22" i="1" s="1"/>
  <c r="A23" i="1" s="1"/>
  <c r="L20" i="1" l="1"/>
  <c r="L21" i="1"/>
  <c r="L2" i="1"/>
  <c r="L3" i="1"/>
  <c r="L18" i="1"/>
  <c r="L19" i="1"/>
  <c r="L15" i="1"/>
  <c r="L16" i="1"/>
  <c r="L4" i="1"/>
  <c r="L5" i="1"/>
  <c r="L6" i="1"/>
  <c r="L7" i="1"/>
  <c r="L8" i="1"/>
  <c r="L9" i="1"/>
  <c r="L10" i="1"/>
  <c r="L11" i="1"/>
  <c r="L12" i="1"/>
  <c r="L13" i="1"/>
  <c r="L14" i="1"/>
  <c r="K17" i="1"/>
  <c r="D15" i="1"/>
  <c r="K15" i="1" l="1"/>
  <c r="E25" i="1"/>
  <c r="D25" i="1"/>
  <c r="J15" i="1"/>
  <c r="J17" i="1"/>
  <c r="L17" i="1" s="1"/>
  <c r="L25" i="1" s="1"/>
  <c r="J3" i="1" l="1"/>
  <c r="K3" i="1"/>
  <c r="J5" i="1"/>
  <c r="K5" i="1"/>
  <c r="J12" i="1"/>
  <c r="K12" i="1"/>
  <c r="J21" i="1"/>
  <c r="K21" i="1"/>
  <c r="J16" i="1"/>
  <c r="K16" i="1"/>
  <c r="J18" i="1"/>
  <c r="K18" i="1"/>
  <c r="J6" i="1"/>
  <c r="K6" i="1"/>
  <c r="J13" i="1"/>
  <c r="K13" i="1"/>
  <c r="J2" i="1"/>
  <c r="K2" i="1"/>
  <c r="J4" i="1"/>
  <c r="K4" i="1"/>
  <c r="J11" i="1"/>
  <c r="K11" i="1"/>
  <c r="J20" i="1"/>
  <c r="K20" i="1"/>
  <c r="J9" i="1"/>
  <c r="K9" i="1"/>
  <c r="J7" i="1"/>
  <c r="K7" i="1"/>
  <c r="J14" i="1"/>
  <c r="K14" i="1"/>
  <c r="J10" i="1"/>
  <c r="J25" i="1" s="1"/>
  <c r="K10" i="1"/>
  <c r="J8" i="1"/>
  <c r="K8" i="1"/>
  <c r="J19" i="1"/>
  <c r="K19" i="1"/>
  <c r="G25" i="1"/>
  <c r="K25" i="1" l="1"/>
</calcChain>
</file>

<file path=xl/sharedStrings.xml><?xml version="1.0" encoding="utf-8"?>
<sst xmlns="http://schemas.openxmlformats.org/spreadsheetml/2006/main" count="162" uniqueCount="65">
  <si>
    <t>Number</t>
  </si>
  <si>
    <t xml:space="preserve">Project Name </t>
  </si>
  <si>
    <t>428 Cost</t>
  </si>
  <si>
    <t>Estimate Class</t>
  </si>
  <si>
    <t xml:space="preserve">406 MIT Cost </t>
  </si>
  <si>
    <t>FAASt - Rio Blanco Hydroelectric System (Dams, Hydro, &amp; Irrigation)</t>
  </si>
  <si>
    <t>FAASt - Toro Negro Hydroelectric Conveyance Canal and Penstock Repairs</t>
  </si>
  <si>
    <t>FAASt - Guajataca Dam - Permanent Repairs (Dams, Hydro, &amp; Irrigation)</t>
  </si>
  <si>
    <t>FAASt - Dams Minor Repairs</t>
  </si>
  <si>
    <t>Guayabal Dam Seismic Retrofit</t>
  </si>
  <si>
    <t>FAASt - Caonillas 1 Hydro System (Hydro)</t>
  </si>
  <si>
    <t>FAASt - South Coast Irrigation District - Canals (Dams, Hydro, &amp; Irrigation)</t>
  </si>
  <si>
    <t>FAASt - Lajas Irrigation District - Canals (Conveyance and Canals)</t>
  </si>
  <si>
    <t>FAASt - Dos Bocas Reservoir – Dredging (Dams, Hydro, &amp; Irrigation)</t>
  </si>
  <si>
    <t>FAASt - Caonillas Reservoir – Dredging (Dams, Hydro, &amp; Irrigation)</t>
  </si>
  <si>
    <t>FAASt - Guayabal Reservoir – Dredging (Dams, Hydro, &amp; Irrigation)</t>
  </si>
  <si>
    <t>FAASt - Matrullas Reservoir – Dredging (Dams, Hydro, &amp; Irrigation)</t>
  </si>
  <si>
    <t>FAASt - Guineo Reservoir – Dredging (Dams, Hydro, &amp; Irrigation)</t>
  </si>
  <si>
    <t>FAASt - Loco Reservoir – Dredging (Dams, Hydro, &amp; Irrigation)</t>
  </si>
  <si>
    <t>FAASt - Guayo Reservoir – Dredging (Dams, Hydro, &amp; Irrigation)</t>
  </si>
  <si>
    <t>FAASt - Lucchetti Reservoir – Dredging (Dams, Hydro, &amp; Irrigation)</t>
  </si>
  <si>
    <t>FAASt - Guajataca Reservoir – Dredging (Dams, Hydro, &amp; Irrigation)</t>
  </si>
  <si>
    <t>FAASt - Guerrero Reservoir – Dredging (Dams, Hydro, &amp; Irrigation)</t>
  </si>
  <si>
    <t>FAASt - Garzas Reservoir – Dredging (Dams, Hydro, &amp; Irrigation)</t>
  </si>
  <si>
    <t>FAASt BONUS</t>
  </si>
  <si>
    <t>IT/OT</t>
  </si>
  <si>
    <t>Total Cost</t>
  </si>
  <si>
    <t>Range</t>
  </si>
  <si>
    <t>-15% to +20%</t>
  </si>
  <si>
    <t>-50% to +100%</t>
  </si>
  <si>
    <t>High End of Range</t>
  </si>
  <si>
    <t>-3% to +3%</t>
  </si>
  <si>
    <t>Bid</t>
  </si>
  <si>
    <t>Total</t>
  </si>
  <si>
    <t>Note: Guamani canal has decreased from $49M to $21M from Class 5 to Class 3</t>
  </si>
  <si>
    <t>Note: USDA Funding - Check with PREPA</t>
  </si>
  <si>
    <t>Capped High</t>
  </si>
  <si>
    <t>Uncapped High</t>
  </si>
  <si>
    <t xml:space="preserve"> </t>
  </si>
  <si>
    <t>Comments</t>
  </si>
  <si>
    <t>Anticipated Design Completion Date</t>
  </si>
  <si>
    <t>FEMA ID</t>
  </si>
  <si>
    <t>Other Funding</t>
  </si>
  <si>
    <t>USDA/436467</t>
  </si>
  <si>
    <t>Isabella Irrigation District Canals (Water Assets Conveyance and Canals)</t>
  </si>
  <si>
    <t>TBD</t>
  </si>
  <si>
    <t>Completed</t>
  </si>
  <si>
    <t>Anticipated Construction Completion Date</t>
  </si>
  <si>
    <t>BERMUDEZ</t>
  </si>
  <si>
    <t>DIANA BERRIOS</t>
  </si>
  <si>
    <t>FERNANDO OSORIO</t>
  </si>
  <si>
    <t>JOHN ROSADO</t>
  </si>
  <si>
    <t>DSOW submitted and under FEMA Review</t>
  </si>
  <si>
    <t>Current Project Status or comments</t>
  </si>
  <si>
    <t>Submitted</t>
  </si>
  <si>
    <t>Planning &amp; Design-Preliminary Studies-  Developing Detailed SOW</t>
  </si>
  <si>
    <t>Planning &amp; Design-  Developing Detailed SOW</t>
  </si>
  <si>
    <t xml:space="preserve">DSOW Submittal date to FEMA </t>
  </si>
  <si>
    <t>DSOW submitted and under FEMA Review- Completion of 60%Design in progress</t>
  </si>
  <si>
    <t>DSOW submitted and under FEMA Review- Completion of 60% Design in progress</t>
  </si>
  <si>
    <t>Planning &amp; Design-  Developing Detailed SOW-Completion of 60% Design in progress</t>
  </si>
  <si>
    <t>*406 Hazard Mitigation measures identified. PREPA actively working with FEMA to identify potential costs to be reallocated under 406</t>
  </si>
  <si>
    <t xml:space="preserve"> PREPA actively working to identify 406 Hazard Mitigation measures and potential costs to be reallocated under 406</t>
  </si>
  <si>
    <t>Costs updated and decreased- Completion of Design in progress</t>
  </si>
  <si>
    <t>PREPA seeking USDA/NRCS full project funding - Potential reallocation of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</si>
</sst>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rgb="FF000000"/>
      <name val="Arial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Aptos Narrow"/>
      <scheme val="minor"/>
    </font>
    <font>
      <sz val="11"/>
      <color theme="5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C376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44" fontId="1" fillId="0" borderId="0" xfId="1" applyFont="1" applyAlignment="1">
      <alignment horizontal="center" vertical="center" wrapText="1"/>
    </xf>
    <xf numFmtId="44" fontId="1" fillId="0" borderId="0" xfId="1" applyFont="1" applyBorder="1" applyAlignment="1">
      <alignment vertical="center"/>
    </xf>
    <xf numFmtId="44" fontId="1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vertical="center"/>
    </xf>
    <xf numFmtId="44" fontId="0" fillId="0" borderId="1" xfId="0" applyNumberFormat="1" applyBorder="1" applyAlignment="1">
      <alignment vertical="center"/>
    </xf>
    <xf numFmtId="0" fontId="0" fillId="0" borderId="1" xfId="0" quotePrefix="1" applyBorder="1" applyAlignment="1">
      <alignment vertical="center"/>
    </xf>
    <xf numFmtId="44" fontId="2" fillId="0" borderId="0" xfId="1" applyFont="1" applyAlignment="1">
      <alignment vertical="center"/>
    </xf>
    <xf numFmtId="0" fontId="0" fillId="0" borderId="1" xfId="0" quotePrefix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4" fontId="0" fillId="0" borderId="1" xfId="1" applyFont="1" applyFill="1" applyBorder="1" applyAlignment="1">
      <alignment vertical="center"/>
    </xf>
    <xf numFmtId="44" fontId="0" fillId="0" borderId="2" xfId="0" applyNumberFormat="1" applyBorder="1" applyAlignment="1">
      <alignment vertical="center"/>
    </xf>
    <xf numFmtId="44" fontId="2" fillId="0" borderId="1" xfId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14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/>
    </xf>
    <xf numFmtId="44" fontId="6" fillId="0" borderId="1" xfId="1" applyFont="1" applyBorder="1" applyAlignment="1">
      <alignment vertical="center"/>
    </xf>
    <xf numFmtId="44" fontId="8" fillId="0" borderId="1" xfId="1" applyFont="1" applyBorder="1" applyAlignment="1">
      <alignment vertical="center"/>
    </xf>
    <xf numFmtId="14" fontId="6" fillId="0" borderId="1" xfId="0" applyNumberFormat="1" applyFont="1" applyBorder="1" applyAlignment="1">
      <alignment horizontal="center"/>
    </xf>
    <xf numFmtId="44" fontId="6" fillId="0" borderId="1" xfId="1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 wrapText="1" readingOrder="1"/>
    </xf>
    <xf numFmtId="44" fontId="9" fillId="0" borderId="1" xfId="1" applyFont="1" applyBorder="1" applyAlignment="1">
      <alignment horizontal="center" vertical="center"/>
    </xf>
    <xf numFmtId="14" fontId="9" fillId="0" borderId="1" xfId="1" applyNumberFormat="1" applyFont="1" applyBorder="1" applyAlignment="1">
      <alignment horizontal="center" vertical="center"/>
    </xf>
    <xf numFmtId="14" fontId="9" fillId="0" borderId="1" xfId="1" applyNumberFormat="1" applyFont="1" applyFill="1" applyBorder="1" applyAlignment="1">
      <alignment horizontal="center" vertical="center"/>
    </xf>
    <xf numFmtId="44" fontId="9" fillId="0" borderId="1" xfId="1" applyFont="1" applyFill="1" applyBorder="1" applyAlignment="1">
      <alignment horizontal="center" vertical="center"/>
    </xf>
    <xf numFmtId="44" fontId="10" fillId="0" borderId="1" xfId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28">
    <dxf>
      <numFmt numFmtId="34" formatCode="_(&quot;$&quot;* #,##0.00_);_(&quot;$&quot;* \(#,##0.00\);_(&quot;$&quot;* &quot;-&quot;??_);_(@_)"/>
      <alignment vertical="center" textRotation="0" indent="0" justifyLastLine="0" shrinkToFit="0" readingOrder="0"/>
    </dxf>
    <dxf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alignment vertical="center" textRotation="0" indent="0" justifyLastLine="0" shrinkToFit="0" readingOrder="0"/>
    </dxf>
    <dxf>
      <numFmt numFmtId="34" formatCode="_(&quot;$&quot;* #,##0.00_);_(&quot;$&quot;* \(#,##0.00\);_(&quot;$&quot;* &quot;-&quot;??_);_(@_)"/>
      <alignment vertical="center" textRotation="0" indent="0" justifyLastLine="0" shrinkToFit="0" readingOrder="0"/>
    </dxf>
    <dxf>
      <numFmt numFmtId="34" formatCode="_(&quot;$&quot;* #,##0.00_);_(&quot;$&quot;* \(#,##0.00\);_(&quot;$&quot;* &quot;-&quot;??_);_(@_)"/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family val="2"/>
        <scheme val="none"/>
      </font>
      <fill>
        <patternFill patternType="solid">
          <fgColor indexed="64"/>
          <bgColor rgb="FF1C376A"/>
        </patternFill>
      </fill>
      <alignment horizontal="center" vertical="center" textRotation="0" wrapText="1" indent="0" justifyLastLine="0" shrinkToFit="0" readingOrder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ittobriens-my.sharepoint.com/personal/wilsullivan_wittobriens_com/Documents/Desktop/Projects-PR/General/Tracking/Federal%20Funding%20%20Grid%20Modernization%20-%20January%202026.xlsx" TargetMode="External"/><Relationship Id="rId1" Type="http://schemas.openxmlformats.org/officeDocument/2006/relationships/externalLinkPath" Target="https://wittobriens-my.sharepoint.com/personal/wilsullivan_wittobriens_com/Documents/Desktop/Projects-PR/General/Tracking/Federal%20Funding%20%20Grid%20Modernization%20-%20January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B Report (2)"/>
      <sheetName val="Prior Report"/>
    </sheetNames>
    <sheetDataSet>
      <sheetData sheetId="0">
        <row r="8">
          <cell r="B8">
            <v>435769</v>
          </cell>
          <cell r="C8" t="str">
            <v xml:space="preserve">FAASt South Coast Irrigation District - Canals </v>
          </cell>
          <cell r="D8">
            <v>428</v>
          </cell>
          <cell r="E8">
            <v>0.9</v>
          </cell>
          <cell r="F8" t="str">
            <v>Pending FEMA Approval</v>
          </cell>
          <cell r="G8">
            <v>144851431.5</v>
          </cell>
          <cell r="I8" t="str">
            <v>A</v>
          </cell>
          <cell r="J8">
            <v>32140000</v>
          </cell>
          <cell r="K8">
            <v>44447</v>
          </cell>
          <cell r="M8" t="str">
            <v>Pending Approval</v>
          </cell>
          <cell r="N8">
            <v>817137.6</v>
          </cell>
          <cell r="O8">
            <v>735423.84</v>
          </cell>
          <cell r="P8" t="str">
            <v>I</v>
          </cell>
          <cell r="Q8" t="str">
            <v xml:space="preserve"> Planning &amp; Design </v>
          </cell>
          <cell r="R8" t="str">
            <v>30% Designs</v>
          </cell>
          <cell r="S8">
            <v>44772</v>
          </cell>
          <cell r="T8">
            <v>46143</v>
          </cell>
          <cell r="U8">
            <v>46143</v>
          </cell>
          <cell r="V8">
            <v>0.5</v>
          </cell>
          <cell r="W8">
            <v>0.5</v>
          </cell>
        </row>
        <row r="9">
          <cell r="B9">
            <v>436467</v>
          </cell>
          <cell r="C9" t="str">
            <v>FAASt Isabela Irrigation District - Canals &amp; USDA Funding</v>
          </cell>
          <cell r="D9">
            <v>428</v>
          </cell>
          <cell r="E9">
            <v>0.9</v>
          </cell>
          <cell r="F9" t="str">
            <v>Developing Detailed SOW</v>
          </cell>
          <cell r="G9">
            <v>32000000</v>
          </cell>
          <cell r="I9" t="str">
            <v>A, L</v>
          </cell>
          <cell r="J9">
            <v>15000000</v>
          </cell>
          <cell r="K9">
            <v>44447</v>
          </cell>
          <cell r="M9" t="str">
            <v>To be submitted</v>
          </cell>
          <cell r="N9">
            <v>191623.6</v>
          </cell>
          <cell r="O9">
            <v>172461.24000000002</v>
          </cell>
          <cell r="P9" t="str">
            <v>I</v>
          </cell>
          <cell r="Q9" t="str">
            <v xml:space="preserve"> Planning &amp; Design </v>
          </cell>
          <cell r="R9" t="str">
            <v>30% Designs</v>
          </cell>
          <cell r="S9">
            <v>44772</v>
          </cell>
          <cell r="T9" t="str">
            <v>TBD</v>
          </cell>
          <cell r="U9" t="str">
            <v>TBD</v>
          </cell>
          <cell r="V9" t="str">
            <v>TBD</v>
          </cell>
          <cell r="W9" t="str">
            <v>TBD</v>
          </cell>
        </row>
        <row r="10">
          <cell r="B10">
            <v>436462</v>
          </cell>
          <cell r="C10" t="str">
            <v xml:space="preserve">FAASt Lajas Irrigation Canals </v>
          </cell>
          <cell r="D10">
            <v>428</v>
          </cell>
          <cell r="E10">
            <v>0.9</v>
          </cell>
          <cell r="F10" t="str">
            <v>Pending FEMA Approval</v>
          </cell>
          <cell r="G10">
            <v>42573271.519999996</v>
          </cell>
          <cell r="I10" t="str">
            <v>A, P</v>
          </cell>
          <cell r="J10">
            <v>15000000</v>
          </cell>
          <cell r="K10">
            <v>44447</v>
          </cell>
          <cell r="M10" t="str">
            <v>Pending Approval</v>
          </cell>
          <cell r="N10">
            <v>534123.80000000005</v>
          </cell>
          <cell r="O10">
            <v>480711.42000000004</v>
          </cell>
          <cell r="P10" t="str">
            <v>I</v>
          </cell>
          <cell r="Q10" t="str">
            <v xml:space="preserve"> Planning &amp; Design </v>
          </cell>
          <cell r="R10" t="str">
            <v>30% Designs</v>
          </cell>
          <cell r="S10">
            <v>44773</v>
          </cell>
          <cell r="T10">
            <v>46204</v>
          </cell>
          <cell r="U10">
            <v>46204</v>
          </cell>
          <cell r="V10">
            <v>0.25</v>
          </cell>
          <cell r="W10">
            <v>0.25</v>
          </cell>
        </row>
        <row r="11">
          <cell r="B11">
            <v>334803</v>
          </cell>
          <cell r="C11" t="str">
            <v xml:space="preserve">FAASt Loco Reservoir Dredging </v>
          </cell>
          <cell r="D11">
            <v>428</v>
          </cell>
          <cell r="E11">
            <v>0.9</v>
          </cell>
          <cell r="F11" t="str">
            <v>Developing Detailed SOW</v>
          </cell>
          <cell r="G11">
            <v>8080000</v>
          </cell>
          <cell r="I11" t="str">
            <v>B</v>
          </cell>
          <cell r="J11">
            <v>2730000</v>
          </cell>
          <cell r="K11">
            <v>44428</v>
          </cell>
          <cell r="M11" t="str">
            <v>To be submitted</v>
          </cell>
          <cell r="N11">
            <v>509441.63991743763</v>
          </cell>
          <cell r="O11">
            <v>458497.47592569387</v>
          </cell>
          <cell r="P11" t="str">
            <v>I</v>
          </cell>
          <cell r="Q11" t="str">
            <v xml:space="preserve"> Planning &amp; Design </v>
          </cell>
          <cell r="R11" t="str">
            <v>60% Designs</v>
          </cell>
          <cell r="S11">
            <v>45382</v>
          </cell>
          <cell r="T11">
            <v>46357</v>
          </cell>
          <cell r="U11">
            <v>46357</v>
          </cell>
          <cell r="V11">
            <v>0.6</v>
          </cell>
          <cell r="W11">
            <v>0.6</v>
          </cell>
        </row>
        <row r="12">
          <cell r="B12">
            <v>335207</v>
          </cell>
          <cell r="C12" t="str">
            <v xml:space="preserve">FAASt Guineo Reservoir – Dredging </v>
          </cell>
          <cell r="D12">
            <v>428</v>
          </cell>
          <cell r="E12">
            <v>0.9</v>
          </cell>
          <cell r="F12" t="str">
            <v>Developing Detailed SOW</v>
          </cell>
          <cell r="G12">
            <v>3143743</v>
          </cell>
          <cell r="I12" t="str">
            <v>B, D</v>
          </cell>
          <cell r="J12">
            <v>1250000</v>
          </cell>
          <cell r="K12">
            <v>44428</v>
          </cell>
          <cell r="M12" t="str">
            <v>To be submitted</v>
          </cell>
          <cell r="N12">
            <v>331198.8860882147</v>
          </cell>
          <cell r="O12">
            <v>298078.99747939326</v>
          </cell>
          <cell r="P12" t="str">
            <v>I</v>
          </cell>
          <cell r="Q12" t="str">
            <v xml:space="preserve"> Planning &amp; Design </v>
          </cell>
          <cell r="R12" t="str">
            <v>30% Designs</v>
          </cell>
          <cell r="S12">
            <v>45382</v>
          </cell>
          <cell r="T12">
            <v>46420</v>
          </cell>
          <cell r="U12">
            <v>46420</v>
          </cell>
          <cell r="V12">
            <v>0.3</v>
          </cell>
          <cell r="W12">
            <v>0.45</v>
          </cell>
        </row>
        <row r="13">
          <cell r="B13">
            <v>334798</v>
          </cell>
          <cell r="C13" t="str">
            <v xml:space="preserve">FAASt Guerrero Reservoir – Dredging </v>
          </cell>
          <cell r="D13">
            <v>428</v>
          </cell>
          <cell r="E13">
            <v>0.9</v>
          </cell>
          <cell r="F13" t="str">
            <v>Developing Detailed SOW</v>
          </cell>
          <cell r="G13">
            <v>3918132</v>
          </cell>
          <cell r="I13" t="str">
            <v>B</v>
          </cell>
          <cell r="J13">
            <v>19000</v>
          </cell>
          <cell r="K13">
            <v>44428</v>
          </cell>
          <cell r="M13" t="str">
            <v>To be submitted</v>
          </cell>
          <cell r="N13">
            <v>350762.83558825246</v>
          </cell>
          <cell r="O13">
            <v>315686.5520294272</v>
          </cell>
          <cell r="P13" t="str">
            <v>I</v>
          </cell>
          <cell r="Q13" t="str">
            <v xml:space="preserve"> Planning &amp; Design </v>
          </cell>
          <cell r="R13" t="str">
            <v>30% Designs</v>
          </cell>
          <cell r="S13">
            <v>45382</v>
          </cell>
          <cell r="T13">
            <v>46433</v>
          </cell>
          <cell r="U13">
            <v>46433</v>
          </cell>
          <cell r="V13">
            <v>0.3</v>
          </cell>
          <cell r="W13">
            <v>0.3</v>
          </cell>
        </row>
        <row r="14">
          <cell r="B14">
            <v>334813</v>
          </cell>
          <cell r="C14" t="str">
            <v xml:space="preserve">FAASt Guayo Reservoir Dredging </v>
          </cell>
          <cell r="D14">
            <v>428</v>
          </cell>
          <cell r="E14">
            <v>0.9</v>
          </cell>
          <cell r="F14" t="str">
            <v>Developing Detailed SOW</v>
          </cell>
          <cell r="G14">
            <v>17260000</v>
          </cell>
          <cell r="I14" t="str">
            <v>B</v>
          </cell>
          <cell r="J14">
            <v>21010000</v>
          </cell>
          <cell r="K14">
            <v>44428</v>
          </cell>
          <cell r="M14" t="str">
            <v>To be submitted</v>
          </cell>
          <cell r="N14">
            <v>510330.91705930734</v>
          </cell>
          <cell r="O14">
            <v>459297.82535337663</v>
          </cell>
          <cell r="P14" t="str">
            <v>I</v>
          </cell>
          <cell r="Q14" t="str">
            <v xml:space="preserve"> Planning &amp; Design </v>
          </cell>
          <cell r="R14" t="str">
            <v>60% Designs</v>
          </cell>
          <cell r="S14">
            <v>45382</v>
          </cell>
          <cell r="T14">
            <v>46600</v>
          </cell>
          <cell r="U14">
            <v>46600</v>
          </cell>
          <cell r="V14">
            <v>0.4</v>
          </cell>
          <cell r="W14">
            <v>0.4</v>
          </cell>
        </row>
        <row r="15">
          <cell r="B15">
            <v>334811</v>
          </cell>
          <cell r="C15" t="str">
            <v xml:space="preserve">FAASt Dos Bocas Reservoir Dredging </v>
          </cell>
          <cell r="D15">
            <v>428</v>
          </cell>
          <cell r="E15">
            <v>0.9</v>
          </cell>
          <cell r="F15" t="str">
            <v>Developing Detailed SOW</v>
          </cell>
          <cell r="G15">
            <v>117400543.58</v>
          </cell>
          <cell r="I15" t="str">
            <v>B, R</v>
          </cell>
          <cell r="J15">
            <v>58250000</v>
          </cell>
          <cell r="K15">
            <v>44428</v>
          </cell>
          <cell r="M15" t="str">
            <v>To be submitted</v>
          </cell>
          <cell r="N15">
            <v>747133.74351522094</v>
          </cell>
          <cell r="O15">
            <v>672420.36916369887</v>
          </cell>
          <cell r="P15" t="str">
            <v>I</v>
          </cell>
          <cell r="Q15" t="str">
            <v xml:space="preserve"> Planning &amp; Design </v>
          </cell>
          <cell r="R15" t="str">
            <v>60% Designs</v>
          </cell>
          <cell r="S15">
            <v>45382</v>
          </cell>
          <cell r="T15">
            <v>46569</v>
          </cell>
          <cell r="U15">
            <v>46569</v>
          </cell>
          <cell r="V15">
            <v>0.36</v>
          </cell>
          <cell r="W15">
            <v>0.37</v>
          </cell>
        </row>
        <row r="16">
          <cell r="B16">
            <v>178722</v>
          </cell>
          <cell r="C16" t="str">
            <v>FAASt Caonillas (Dredging)</v>
          </cell>
          <cell r="D16">
            <v>428</v>
          </cell>
          <cell r="E16">
            <v>0.9</v>
          </cell>
          <cell r="F16" t="str">
            <v>Developing Detailed SOW</v>
          </cell>
          <cell r="G16">
            <v>81857757</v>
          </cell>
          <cell r="I16" t="str">
            <v>B, D, R</v>
          </cell>
          <cell r="J16">
            <v>41740000</v>
          </cell>
          <cell r="K16">
            <v>44314</v>
          </cell>
          <cell r="L16" t="str">
            <v>D</v>
          </cell>
          <cell r="M16" t="str">
            <v>To be submitted</v>
          </cell>
          <cell r="N16">
            <v>726926.90359509911</v>
          </cell>
          <cell r="O16">
            <v>654234.21323558921</v>
          </cell>
          <cell r="P16" t="str">
            <v>I</v>
          </cell>
          <cell r="Q16" t="str">
            <v xml:space="preserve"> Planning &amp; Design </v>
          </cell>
          <cell r="R16" t="str">
            <v>60% Designs</v>
          </cell>
          <cell r="S16">
            <v>45382</v>
          </cell>
          <cell r="T16">
            <v>46538</v>
          </cell>
          <cell r="U16">
            <v>46538</v>
          </cell>
          <cell r="V16">
            <v>0.35</v>
          </cell>
          <cell r="W16">
            <v>0.37</v>
          </cell>
        </row>
        <row r="17">
          <cell r="B17">
            <v>335206</v>
          </cell>
          <cell r="C17" t="str">
            <v xml:space="preserve">FAASt Matrullas Reservoir–Dredging </v>
          </cell>
          <cell r="D17">
            <v>428</v>
          </cell>
          <cell r="E17">
            <v>0.9</v>
          </cell>
          <cell r="F17" t="str">
            <v>Developing Detailed SOW</v>
          </cell>
          <cell r="G17">
            <v>7752364</v>
          </cell>
          <cell r="I17" t="str">
            <v>B</v>
          </cell>
          <cell r="J17">
            <v>3080000</v>
          </cell>
          <cell r="K17">
            <v>44428</v>
          </cell>
          <cell r="M17" t="str">
            <v>To be submitted</v>
          </cell>
          <cell r="N17">
            <v>331198.8860882147</v>
          </cell>
          <cell r="O17">
            <v>298078.99747939326</v>
          </cell>
          <cell r="P17" t="str">
            <v>I</v>
          </cell>
          <cell r="Q17" t="str">
            <v xml:space="preserve"> Planning &amp; Design </v>
          </cell>
          <cell r="R17" t="str">
            <v>30% Designs</v>
          </cell>
          <cell r="S17">
            <v>45382</v>
          </cell>
          <cell r="T17">
            <v>46478</v>
          </cell>
          <cell r="U17">
            <v>46478</v>
          </cell>
          <cell r="V17">
            <v>0.3</v>
          </cell>
          <cell r="W17">
            <v>0.35</v>
          </cell>
        </row>
        <row r="18">
          <cell r="B18">
            <v>334773</v>
          </cell>
          <cell r="C18" t="str">
            <v xml:space="preserve">FAASt Lucchetti Reservoir – Dredging </v>
          </cell>
          <cell r="D18">
            <v>428</v>
          </cell>
          <cell r="E18">
            <v>0.9</v>
          </cell>
          <cell r="F18" t="str">
            <v>Developing Detailed SOW</v>
          </cell>
          <cell r="G18">
            <v>40020000</v>
          </cell>
          <cell r="I18" t="str">
            <v>B</v>
          </cell>
          <cell r="J18">
            <v>35810000</v>
          </cell>
          <cell r="K18">
            <v>44428</v>
          </cell>
          <cell r="M18" t="str">
            <v>To be submitted</v>
          </cell>
          <cell r="N18">
            <v>636097.56128789915</v>
          </cell>
          <cell r="O18">
            <v>572487.8051591093</v>
          </cell>
          <cell r="P18" t="str">
            <v>I</v>
          </cell>
          <cell r="Q18" t="str">
            <v xml:space="preserve"> Planning &amp; Design </v>
          </cell>
          <cell r="R18" t="str">
            <v>60% Designs</v>
          </cell>
          <cell r="S18">
            <v>45382</v>
          </cell>
          <cell r="T18">
            <v>46539</v>
          </cell>
          <cell r="U18">
            <v>46539</v>
          </cell>
          <cell r="V18">
            <v>0.4</v>
          </cell>
          <cell r="W18">
            <v>0.4</v>
          </cell>
        </row>
        <row r="19">
          <cell r="B19">
            <v>334772</v>
          </cell>
          <cell r="C19" t="str">
            <v xml:space="preserve">FAASt Guayabal Reservoir – Dredging </v>
          </cell>
          <cell r="D19">
            <v>428</v>
          </cell>
          <cell r="E19">
            <v>0.9</v>
          </cell>
          <cell r="F19" t="str">
            <v>Developing Detailed SOW</v>
          </cell>
          <cell r="G19">
            <v>6452231</v>
          </cell>
          <cell r="I19" t="str">
            <v>B</v>
          </cell>
          <cell r="J19">
            <v>7750000</v>
          </cell>
          <cell r="K19">
            <v>44428</v>
          </cell>
          <cell r="M19" t="str">
            <v>To be submitted</v>
          </cell>
          <cell r="N19">
            <v>331198.8860882147</v>
          </cell>
          <cell r="O19">
            <v>298078.99747939326</v>
          </cell>
          <cell r="P19" t="str">
            <v>I</v>
          </cell>
          <cell r="Q19" t="str">
            <v xml:space="preserve"> Planning &amp; Design </v>
          </cell>
          <cell r="R19" t="str">
            <v>30% Designs</v>
          </cell>
          <cell r="S19">
            <v>45382</v>
          </cell>
          <cell r="T19">
            <v>46661</v>
          </cell>
          <cell r="U19">
            <v>46661</v>
          </cell>
          <cell r="V19">
            <v>0.35</v>
          </cell>
          <cell r="W19">
            <v>0.35</v>
          </cell>
        </row>
        <row r="20">
          <cell r="B20">
            <v>334771</v>
          </cell>
          <cell r="C20" t="str">
            <v xml:space="preserve">FAASt Guajataca Reservoir – Dredging </v>
          </cell>
          <cell r="D20">
            <v>428</v>
          </cell>
          <cell r="E20">
            <v>0.9</v>
          </cell>
          <cell r="F20" t="str">
            <v>Developing Detailed SOW</v>
          </cell>
          <cell r="G20">
            <v>43732382</v>
          </cell>
          <cell r="I20" t="str">
            <v>B</v>
          </cell>
          <cell r="J20">
            <v>18990000</v>
          </cell>
          <cell r="K20">
            <v>44428</v>
          </cell>
          <cell r="M20" t="str">
            <v>To be submitted</v>
          </cell>
          <cell r="N20">
            <v>476243.21927786834</v>
          </cell>
          <cell r="O20">
            <v>428618.89735008153</v>
          </cell>
          <cell r="P20" t="str">
            <v>I</v>
          </cell>
          <cell r="Q20" t="str">
            <v xml:space="preserve"> Planning &amp; Design </v>
          </cell>
          <cell r="R20" t="str">
            <v>60% Designs</v>
          </cell>
          <cell r="S20">
            <v>45382</v>
          </cell>
          <cell r="T20">
            <v>46926</v>
          </cell>
          <cell r="U20">
            <v>46926</v>
          </cell>
          <cell r="V20">
            <v>0.35</v>
          </cell>
          <cell r="W20">
            <v>0.35</v>
          </cell>
        </row>
        <row r="21">
          <cell r="B21">
            <v>334769</v>
          </cell>
          <cell r="C21" t="str">
            <v xml:space="preserve">FAASt Garzas Reservoir – Dredging </v>
          </cell>
          <cell r="D21">
            <v>428</v>
          </cell>
          <cell r="E21">
            <v>0.9</v>
          </cell>
          <cell r="F21" t="str">
            <v>Developing Detailed SOW</v>
          </cell>
          <cell r="G21">
            <v>11154286</v>
          </cell>
          <cell r="I21" t="str">
            <v>B</v>
          </cell>
          <cell r="J21">
            <v>1530000</v>
          </cell>
          <cell r="K21">
            <v>44355</v>
          </cell>
          <cell r="M21" t="str">
            <v>To be submitted</v>
          </cell>
          <cell r="N21">
            <v>438890.86422154168</v>
          </cell>
          <cell r="O21">
            <v>395001.77779938752</v>
          </cell>
          <cell r="P21" t="str">
            <v>I</v>
          </cell>
          <cell r="Q21" t="str">
            <v xml:space="preserve"> Planning &amp; Design </v>
          </cell>
          <cell r="R21" t="str">
            <v>30% Designs</v>
          </cell>
          <cell r="S21">
            <v>45382</v>
          </cell>
          <cell r="T21">
            <v>46548</v>
          </cell>
          <cell r="U21">
            <v>46548</v>
          </cell>
          <cell r="V21">
            <v>0.3</v>
          </cell>
          <cell r="W21">
            <v>0.3</v>
          </cell>
        </row>
        <row r="22">
          <cell r="B22">
            <v>334770</v>
          </cell>
          <cell r="C22" t="str">
            <v xml:space="preserve">FAASt Guajataca Dam – Permanent Repairs </v>
          </cell>
          <cell r="D22">
            <v>428</v>
          </cell>
          <cell r="E22">
            <v>0.9</v>
          </cell>
          <cell r="F22" t="str">
            <v>Developing Detailed SOW</v>
          </cell>
          <cell r="G22">
            <v>1086970000</v>
          </cell>
          <cell r="I22" t="str">
            <v>F</v>
          </cell>
          <cell r="J22">
            <v>566000000</v>
          </cell>
          <cell r="K22">
            <v>44428</v>
          </cell>
          <cell r="M22" t="str">
            <v>To be submitted</v>
          </cell>
          <cell r="N22">
            <v>9143848.25</v>
          </cell>
          <cell r="O22">
            <v>8229463.4249999998</v>
          </cell>
          <cell r="P22" t="str">
            <v>I</v>
          </cell>
          <cell r="Q22" t="str">
            <v xml:space="preserve"> Planning &amp; Design </v>
          </cell>
          <cell r="R22" t="str">
            <v>Preliminary Studies</v>
          </cell>
          <cell r="S22">
            <v>45306</v>
          </cell>
          <cell r="T22">
            <v>47118</v>
          </cell>
          <cell r="U22">
            <v>47118</v>
          </cell>
          <cell r="V22">
            <v>0.12</v>
          </cell>
          <cell r="W22">
            <v>0.12</v>
          </cell>
        </row>
        <row r="23">
          <cell r="B23">
            <v>436621</v>
          </cell>
          <cell r="C23" t="str">
            <v xml:space="preserve">FAASt Dams Minor Repairs </v>
          </cell>
          <cell r="D23">
            <v>428</v>
          </cell>
          <cell r="E23">
            <v>0.9</v>
          </cell>
          <cell r="F23" t="str">
            <v>Pending FEMA Approval</v>
          </cell>
          <cell r="G23">
            <v>24607290.48</v>
          </cell>
          <cell r="I23" t="str">
            <v>J</v>
          </cell>
          <cell r="J23">
            <v>3560000</v>
          </cell>
          <cell r="K23">
            <v>44467</v>
          </cell>
          <cell r="L23" t="str">
            <v>D</v>
          </cell>
          <cell r="M23" t="str">
            <v>Pending Approval</v>
          </cell>
          <cell r="N23">
            <v>0</v>
          </cell>
          <cell r="O23">
            <v>0</v>
          </cell>
          <cell r="Q23" t="str">
            <v xml:space="preserve"> Planning &amp; Design </v>
          </cell>
          <cell r="R23" t="str">
            <v>30% Designs</v>
          </cell>
          <cell r="S23">
            <v>45334</v>
          </cell>
          <cell r="T23">
            <v>46228</v>
          </cell>
          <cell r="U23">
            <v>46228</v>
          </cell>
          <cell r="V23">
            <v>0.3</v>
          </cell>
          <cell r="W23">
            <v>0.3</v>
          </cell>
        </row>
        <row r="24">
          <cell r="B24">
            <v>721184</v>
          </cell>
          <cell r="C24" t="str">
            <v xml:space="preserve">FAASt - Guayabal Seismic Retrofit </v>
          </cell>
          <cell r="D24">
            <v>428</v>
          </cell>
          <cell r="E24">
            <v>0.9</v>
          </cell>
          <cell r="F24" t="str">
            <v>Pending FEMA Approval</v>
          </cell>
          <cell r="G24">
            <v>326154895.79000002</v>
          </cell>
          <cell r="I24" t="str">
            <v>M</v>
          </cell>
          <cell r="J24">
            <v>299278101</v>
          </cell>
          <cell r="K24">
            <v>45064</v>
          </cell>
          <cell r="M24" t="str">
            <v>Pending Approval</v>
          </cell>
          <cell r="N24">
            <v>0</v>
          </cell>
          <cell r="O24">
            <v>0</v>
          </cell>
          <cell r="Q24" t="str">
            <v xml:space="preserve"> Planning &amp; Design </v>
          </cell>
          <cell r="R24" t="str">
            <v>30% Designs</v>
          </cell>
          <cell r="S24">
            <v>45474</v>
          </cell>
          <cell r="T24">
            <v>47818</v>
          </cell>
          <cell r="U24">
            <v>47818</v>
          </cell>
          <cell r="V24">
            <v>0.1</v>
          </cell>
          <cell r="W24">
            <v>0.1</v>
          </cell>
        </row>
        <row r="25">
          <cell r="B25" t="str">
            <v>4339-0011</v>
          </cell>
          <cell r="C25" t="str">
            <v>Patillas Dams</v>
          </cell>
          <cell r="D25" t="str">
            <v>404/CDBG</v>
          </cell>
          <cell r="E25">
            <v>1</v>
          </cell>
          <cell r="F25" t="str">
            <v>Approved</v>
          </cell>
          <cell r="G25">
            <v>567024315</v>
          </cell>
          <cell r="I25" t="str">
            <v>G</v>
          </cell>
          <cell r="J25">
            <v>558530000</v>
          </cell>
          <cell r="K25">
            <v>44428</v>
          </cell>
          <cell r="M25">
            <v>558000000</v>
          </cell>
          <cell r="N25">
            <v>2634999.9499999997</v>
          </cell>
          <cell r="O25">
            <v>2634999.9499999997</v>
          </cell>
          <cell r="Q25" t="str">
            <v xml:space="preserve"> Planning &amp; Design </v>
          </cell>
          <cell r="R25" t="str">
            <v>60% Designs</v>
          </cell>
          <cell r="S25">
            <v>45292</v>
          </cell>
          <cell r="T25" t="str">
            <v>TBD</v>
          </cell>
          <cell r="U25" t="str">
            <v>TBD</v>
          </cell>
          <cell r="V25">
            <v>0.8</v>
          </cell>
          <cell r="W25">
            <v>0.8</v>
          </cell>
        </row>
        <row r="26">
          <cell r="B26" t="str">
            <v>4339-0012</v>
          </cell>
          <cell r="C26" t="str">
            <v>Early Warning System</v>
          </cell>
          <cell r="D26">
            <v>404</v>
          </cell>
          <cell r="E26">
            <v>1</v>
          </cell>
          <cell r="F26" t="str">
            <v>Approved</v>
          </cell>
          <cell r="G26">
            <v>99976487</v>
          </cell>
          <cell r="I26" t="str">
            <v>H</v>
          </cell>
          <cell r="J26">
            <v>100000000</v>
          </cell>
          <cell r="K26">
            <v>44428</v>
          </cell>
          <cell r="M26">
            <v>100000000</v>
          </cell>
          <cell r="N26">
            <v>31249322.890000008</v>
          </cell>
          <cell r="O26">
            <v>31249322.890000008</v>
          </cell>
          <cell r="Q26" t="str">
            <v xml:space="preserve"> Permitting</v>
          </cell>
          <cell r="R26" t="str">
            <v>60% Designs</v>
          </cell>
          <cell r="S26">
            <v>45382</v>
          </cell>
          <cell r="T26">
            <v>46203</v>
          </cell>
          <cell r="U26">
            <v>46203</v>
          </cell>
          <cell r="V26">
            <v>0.85</v>
          </cell>
          <cell r="W26">
            <v>0.85</v>
          </cell>
        </row>
        <row r="27">
          <cell r="B27">
            <v>728260</v>
          </cell>
          <cell r="C27" t="str">
            <v>FAAST Caonillas Hydroelectric Power Plant I</v>
          </cell>
          <cell r="D27">
            <v>428</v>
          </cell>
          <cell r="E27">
            <v>0.9</v>
          </cell>
          <cell r="F27" t="str">
            <v>Pending FEMA Approval</v>
          </cell>
          <cell r="G27">
            <v>3611152</v>
          </cell>
          <cell r="I27" t="str">
            <v>K</v>
          </cell>
          <cell r="J27">
            <v>1650000</v>
          </cell>
          <cell r="K27">
            <v>44314</v>
          </cell>
          <cell r="L27" t="str">
            <v>D</v>
          </cell>
          <cell r="M27" t="str">
            <v>Pending Approval</v>
          </cell>
          <cell r="N27">
            <v>280825.90000000002</v>
          </cell>
          <cell r="O27">
            <v>252743.31000000003</v>
          </cell>
          <cell r="P27" t="str">
            <v>I</v>
          </cell>
          <cell r="Q27" t="str">
            <v xml:space="preserve"> Planning &amp; Design </v>
          </cell>
          <cell r="R27" t="str">
            <v>30% Designs</v>
          </cell>
          <cell r="S27">
            <v>45336</v>
          </cell>
          <cell r="T27">
            <v>46477</v>
          </cell>
          <cell r="U27">
            <v>46477</v>
          </cell>
          <cell r="V27">
            <v>0.3</v>
          </cell>
          <cell r="W27">
            <v>0.3</v>
          </cell>
        </row>
        <row r="28">
          <cell r="B28">
            <v>436468</v>
          </cell>
          <cell r="C28" t="str">
            <v>FAASt Toro Negro Hydroelectric System Connection</v>
          </cell>
          <cell r="D28">
            <v>428</v>
          </cell>
          <cell r="E28">
            <v>0.9</v>
          </cell>
          <cell r="F28" t="str">
            <v>Pending FEMA Approval</v>
          </cell>
          <cell r="G28">
            <v>57244061.710000001</v>
          </cell>
          <cell r="I28" t="str">
            <v>Q</v>
          </cell>
          <cell r="J28">
            <v>15220000</v>
          </cell>
          <cell r="K28">
            <v>44447</v>
          </cell>
          <cell r="M28" t="str">
            <v>Pending Approval</v>
          </cell>
          <cell r="N28">
            <v>385052.14</v>
          </cell>
          <cell r="O28">
            <v>346546.92600000004</v>
          </cell>
          <cell r="P28" t="str">
            <v>I</v>
          </cell>
          <cell r="Q28" t="str">
            <v xml:space="preserve"> Planning &amp; Design </v>
          </cell>
          <cell r="R28" t="str">
            <v>60% Designs</v>
          </cell>
          <cell r="S28">
            <v>44407</v>
          </cell>
          <cell r="T28">
            <v>46295</v>
          </cell>
          <cell r="U28">
            <v>46295</v>
          </cell>
          <cell r="V28">
            <v>0.35</v>
          </cell>
          <cell r="W28">
            <v>0.35</v>
          </cell>
        </row>
        <row r="29">
          <cell r="B29">
            <v>180723</v>
          </cell>
          <cell r="C29" t="str">
            <v xml:space="preserve">FAASt - Rio Blanco Hydroelectric System </v>
          </cell>
          <cell r="D29">
            <v>428</v>
          </cell>
          <cell r="E29">
            <v>0.9</v>
          </cell>
          <cell r="F29" t="str">
            <v>Pending FEMA Approval</v>
          </cell>
          <cell r="G29">
            <v>49005575.549999997</v>
          </cell>
          <cell r="I29" t="str">
            <v>Q</v>
          </cell>
          <cell r="J29">
            <v>48120000</v>
          </cell>
          <cell r="K29">
            <v>44314</v>
          </cell>
          <cell r="M29" t="str">
            <v>Pending Approval</v>
          </cell>
          <cell r="N29">
            <v>357833.33000000007</v>
          </cell>
          <cell r="O29">
            <v>322049.99700000009</v>
          </cell>
          <cell r="P29" t="str">
            <v>I</v>
          </cell>
          <cell r="Q29" t="str">
            <v xml:space="preserve"> Planning &amp; Design </v>
          </cell>
          <cell r="R29" t="str">
            <v>30% Designs</v>
          </cell>
          <cell r="S29">
            <v>44408</v>
          </cell>
          <cell r="T29">
            <v>46295</v>
          </cell>
          <cell r="U29">
            <v>46295</v>
          </cell>
          <cell r="V29">
            <v>0.3</v>
          </cell>
          <cell r="W29">
            <v>0.3</v>
          </cell>
        </row>
        <row r="30">
          <cell r="B30" t="str">
            <v>404-TBD-1</v>
          </cell>
          <cell r="C30" t="str">
            <v>Retrofit projects on hydroelectric turbines (15 Projects)</v>
          </cell>
          <cell r="D30" t="str">
            <v>DOE</v>
          </cell>
          <cell r="E30">
            <v>0.75</v>
          </cell>
          <cell r="F30" t="str">
            <v>Pending FEMA Approval</v>
          </cell>
          <cell r="G30">
            <v>320790000</v>
          </cell>
          <cell r="I30" t="str">
            <v>C</v>
          </cell>
          <cell r="J30">
            <v>320790000</v>
          </cell>
          <cell r="K30">
            <v>45197</v>
          </cell>
          <cell r="M30" t="str">
            <v>Pending Approval</v>
          </cell>
          <cell r="N30">
            <v>0</v>
          </cell>
          <cell r="O30">
            <v>0</v>
          </cell>
          <cell r="Q30" t="str">
            <v xml:space="preserve"> Technical Specifications </v>
          </cell>
          <cell r="R30" t="str">
            <v>Appeal</v>
          </cell>
          <cell r="S30" t="str">
            <v>Pending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</row>
        <row r="31">
          <cell r="B31">
            <v>725535</v>
          </cell>
          <cell r="C31" t="str">
            <v>FAASt- System Upgrade for Generation Plants (IT/OT)</v>
          </cell>
          <cell r="D31">
            <v>428</v>
          </cell>
          <cell r="E31">
            <v>0.9</v>
          </cell>
          <cell r="F31" t="str">
            <v>Approved</v>
          </cell>
          <cell r="G31">
            <v>11423825</v>
          </cell>
          <cell r="I31" t="str">
            <v>N</v>
          </cell>
          <cell r="J31">
            <v>11423825</v>
          </cell>
          <cell r="K31">
            <v>45099</v>
          </cell>
          <cell r="M31">
            <v>11423825</v>
          </cell>
          <cell r="N31">
            <v>3116322.78</v>
          </cell>
          <cell r="O31">
            <v>3090286.1319999998</v>
          </cell>
          <cell r="Q31" t="str">
            <v xml:space="preserve"> Planning &amp; Design </v>
          </cell>
          <cell r="R31" t="str">
            <v>60% Designs</v>
          </cell>
          <cell r="S31">
            <v>45330</v>
          </cell>
          <cell r="T31">
            <v>46112</v>
          </cell>
          <cell r="U31">
            <v>46112</v>
          </cell>
          <cell r="V31">
            <v>0.8</v>
          </cell>
          <cell r="W31">
            <v>0.8</v>
          </cell>
        </row>
        <row r="32">
          <cell r="B32">
            <v>746897</v>
          </cell>
          <cell r="C32" t="str">
            <v>BONUS Nuclear Plant</v>
          </cell>
          <cell r="D32">
            <v>428</v>
          </cell>
          <cell r="E32">
            <v>0.9</v>
          </cell>
          <cell r="F32" t="str">
            <v>Approved</v>
          </cell>
          <cell r="G32">
            <v>1579615.43</v>
          </cell>
          <cell r="I32" t="str">
            <v>E</v>
          </cell>
          <cell r="J32">
            <v>1670081</v>
          </cell>
          <cell r="K32">
            <v>45386</v>
          </cell>
          <cell r="M32">
            <v>1579615.43</v>
          </cell>
          <cell r="N32">
            <v>0</v>
          </cell>
          <cell r="O32">
            <v>0</v>
          </cell>
          <cell r="Q32" t="str">
            <v xml:space="preserve"> Technical Specifications </v>
          </cell>
          <cell r="R32" t="str">
            <v>Completed</v>
          </cell>
          <cell r="S32" t="str">
            <v>TBD</v>
          </cell>
          <cell r="T32" t="str">
            <v>Completed</v>
          </cell>
          <cell r="U32" t="str">
            <v>Completed</v>
          </cell>
          <cell r="V32">
            <v>1</v>
          </cell>
          <cell r="W32">
            <v>1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4BD886-C40A-EA43-B5F5-D462BC0CCF7D}" name="Table13" displayName="Table13" ref="A1:I22" totalsRowShown="0" headerRowDxfId="27" dataDxfId="25" headerRowBorderDxfId="26">
  <tableColumns count="9">
    <tableColumn id="16" xr3:uid="{3A09C202-CF45-204C-81E1-90D7A022EF4B}" name="FEMA ID" dataDxfId="24"/>
    <tableColumn id="2" xr3:uid="{1FE291E5-B50D-FC4C-9944-4C45128BD4D0}" name="Project Name " dataDxfId="23"/>
    <tableColumn id="3" xr3:uid="{DC6B4D29-0940-1445-A04E-A071CFA574AD}" name="428 Cost" dataDxfId="22" dataCellStyle="Currency"/>
    <tableColumn id="5" xr3:uid="{3A8823D1-77F4-324B-8C45-9129C37066F4}" name="406 MIT Cost " dataDxfId="21" dataCellStyle="Currency"/>
    <tableColumn id="17" xr3:uid="{6788611D-102C-2E41-B5D0-EF6173B0F1C5}" name="Other Funding" dataDxfId="20"/>
    <tableColumn id="12" xr3:uid="{0F61DDA4-D5A5-124B-B21C-E6716A2A5DEC}" name="Total Cost" dataDxfId="19" dataCellStyle="Currency">
      <calculatedColumnFormula>SUM(#REF!)</calculatedColumnFormula>
    </tableColumn>
    <tableColumn id="4" xr3:uid="{7F09CE90-892B-AF41-A953-E1CDBC476D20}" name="Current Project Status or comments" dataDxfId="18" dataCellStyle="Currency"/>
    <tableColumn id="6" xr3:uid="{B620507E-9F6A-C44B-8E8C-1F7149DC0DAB}" name="DSOW Submittal date to FEMA " dataDxfId="17" dataCellStyle="Currency"/>
    <tableColumn id="15" xr3:uid="{40B5D02E-7FB4-AF48-AABA-38D8F4DD558E}" name="Anticipated Design Completion Date" dataDxfId="1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A87E72-5F14-4A9A-81D6-8E16FC71C80B}" name="Table1" displayName="Table1" ref="A1:N28" totalsRowShown="0" headerRowDxfId="15" dataDxfId="14">
  <tableColumns count="14">
    <tableColumn id="1" xr3:uid="{99746C1F-EFBA-4657-9F72-DCF1D84AFC92}" name="Number" dataDxfId="13"/>
    <tableColumn id="16" xr3:uid="{E5036E47-1041-49D1-9EEF-A48203D025DD}" name="FEMA ID" dataDxfId="12"/>
    <tableColumn id="2" xr3:uid="{69C85F9B-228F-4AE8-85C5-F37D4D87D397}" name="Project Name " dataDxfId="11"/>
    <tableColumn id="3" xr3:uid="{3307E119-9B8A-4A67-A258-3C2A3D97CC6B}" name="428 Cost" dataDxfId="10" dataCellStyle="Currency"/>
    <tableColumn id="5" xr3:uid="{BC759F41-D135-43DC-877B-64DEFCE856A4}" name="406 MIT Cost " dataDxfId="9" dataCellStyle="Currency"/>
    <tableColumn id="17" xr3:uid="{7BBE632B-5314-4DBF-9ACF-E7570D7EBF10}" name="Other Funding" dataDxfId="8"/>
    <tableColumn id="12" xr3:uid="{C8ACCE25-7438-4184-A36F-FC0C50985198}" name="Total Cost" dataDxfId="7" dataCellStyle="Currency">
      <calculatedColumnFormula>SUM(#REF!)</calculatedColumnFormula>
    </tableColumn>
    <tableColumn id="11" xr3:uid="{8DBFE32E-0FB6-4C06-B835-A66E80CC2C12}" name="Estimate Class" dataDxfId="6"/>
    <tableColumn id="13" xr3:uid="{13D49ED7-01CA-40D7-8490-0618630082E6}" name="Range" dataDxfId="5"/>
    <tableColumn id="14" xr3:uid="{CDE066AC-8BF1-48AB-BCC2-7796FDCC42E3}" name="High End of Range" dataDxfId="4">
      <calculatedColumnFormula>Table1[[#This Row],[Total Cost]]*1.2</calculatedColumnFormula>
    </tableColumn>
    <tableColumn id="4" xr3:uid="{26CD701E-8676-4E2B-A75F-E310256121D6}" name="Capped High" dataDxfId="3">
      <calculatedColumnFormula>MID(Table1[[#This Row],[Range]],FIND("+",Table1[[#This Row],[Range]])+1,LEN(Table1[[#This Row],[Range]])-FIND("+",Table1[[#This Row],[Range]])-1)</calculatedColumnFormula>
    </tableColumn>
    <tableColumn id="6" xr3:uid="{ACD8A558-D5FD-41B0-8D38-CFCAE16A1CE5}" name="Uncapped High" dataDxfId="2">
      <calculatedColumnFormula>IFERROR(Table1[[#This Row],[406 MIT Cost ]]*(1+MID(Table1[[#This Row],[Range]],FIND("+",Table1[[#This Row],[Range]])+1,LEN(Table1[[#This Row],[Range]])-FIND("+",Table1[[#This Row],[Range]])-1)/100),Table1[[#This Row],[Total Cost]])</calculatedColumnFormula>
    </tableColumn>
    <tableColumn id="15" xr3:uid="{C2DC4AE8-4C10-4BA0-989C-3CDC1097573B}" name="Anticipated Design Completion Date" dataDxfId="1"/>
    <tableColumn id="10" xr3:uid="{A6B81A40-11AA-460E-B505-0181A290D186}" name="Anticipated Construction Completion Dat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966C2-06DB-AB49-82C0-4C053D6688BE}">
  <dimension ref="A1:J67"/>
  <sheetViews>
    <sheetView showGridLines="0" tabSelected="1" zoomScaleNormal="100" workbookViewId="0">
      <selection activeCell="J8" sqref="J8"/>
    </sheetView>
  </sheetViews>
  <sheetFormatPr defaultColWidth="8.81640625" defaultRowHeight="14.5" x14ac:dyDescent="0.35"/>
  <cols>
    <col min="1" max="1" width="12.81640625" style="3" customWidth="1"/>
    <col min="2" max="2" width="48.36328125" style="6" customWidth="1"/>
    <col min="3" max="3" width="20.36328125" style="4" customWidth="1"/>
    <col min="4" max="4" width="20.6328125" style="4" customWidth="1"/>
    <col min="5" max="5" width="20" style="3" customWidth="1"/>
    <col min="6" max="6" width="20.453125" style="12" customWidth="1"/>
    <col min="7" max="7" width="67" style="12" customWidth="1"/>
    <col min="8" max="8" width="24" style="12" customWidth="1"/>
    <col min="9" max="9" width="19" style="14" customWidth="1"/>
    <col min="10" max="10" width="103.1796875" style="3" customWidth="1"/>
    <col min="11" max="16384" width="8.81640625" style="3"/>
  </cols>
  <sheetData>
    <row r="1" spans="1:10" s="7" customFormat="1" ht="26" x14ac:dyDescent="0.35">
      <c r="A1" s="28" t="s">
        <v>41</v>
      </c>
      <c r="B1" s="28" t="s">
        <v>1</v>
      </c>
      <c r="C1" s="28" t="s">
        <v>2</v>
      </c>
      <c r="D1" s="28" t="s">
        <v>4</v>
      </c>
      <c r="E1" s="28" t="s">
        <v>42</v>
      </c>
      <c r="F1" s="28" t="s">
        <v>26</v>
      </c>
      <c r="G1" s="28" t="s">
        <v>53</v>
      </c>
      <c r="H1" s="28" t="s">
        <v>57</v>
      </c>
      <c r="I1" s="28" t="s">
        <v>40</v>
      </c>
      <c r="J1" s="7" t="s">
        <v>39</v>
      </c>
    </row>
    <row r="2" spans="1:10" ht="29.5" customHeight="1" x14ac:dyDescent="0.35">
      <c r="A2" s="30">
        <v>334770</v>
      </c>
      <c r="B2" s="31" t="s">
        <v>7</v>
      </c>
      <c r="C2" s="32">
        <v>566085576</v>
      </c>
      <c r="D2" s="32">
        <v>520884424</v>
      </c>
      <c r="E2" s="32"/>
      <c r="F2" s="33">
        <f>Table13[[#This Row],[428 Cost]]+Table13[[#This Row],[406 MIT Cost ]]</f>
        <v>1086970000</v>
      </c>
      <c r="G2" s="32" t="s">
        <v>55</v>
      </c>
      <c r="H2" s="37" t="s">
        <v>45</v>
      </c>
      <c r="I2" s="34">
        <f>VLOOKUP(Table13[[#This Row],[FEMA ID]],'[1]PREB Report (2)'!$B$8:$W$32,20,FALSE)</f>
        <v>47118</v>
      </c>
    </row>
    <row r="3" spans="1:10" ht="29.5" customHeight="1" x14ac:dyDescent="0.35">
      <c r="A3" s="30">
        <v>334771</v>
      </c>
      <c r="B3" s="31" t="s">
        <v>21</v>
      </c>
      <c r="C3" s="35">
        <v>42161570</v>
      </c>
      <c r="D3" s="32">
        <v>0</v>
      </c>
      <c r="E3" s="32"/>
      <c r="F3" s="33">
        <f>Table13[[#This Row],[428 Cost]]+Table13[[#This Row],[406 MIT Cost ]]</f>
        <v>42161570</v>
      </c>
      <c r="G3" s="32" t="s">
        <v>59</v>
      </c>
      <c r="H3" s="37" t="s">
        <v>54</v>
      </c>
      <c r="I3" s="34">
        <f>VLOOKUP(Table13[[#This Row],[FEMA ID]],'[1]PREB Report (2)'!$B$8:$W$32,20,FALSE)</f>
        <v>46926</v>
      </c>
      <c r="J3" s="3" t="s">
        <v>62</v>
      </c>
    </row>
    <row r="4" spans="1:10" ht="29.5" customHeight="1" x14ac:dyDescent="0.35">
      <c r="A4" s="30">
        <v>436621</v>
      </c>
      <c r="B4" s="31" t="s">
        <v>8</v>
      </c>
      <c r="C4" s="32">
        <v>15309227</v>
      </c>
      <c r="D4" s="32">
        <v>9298063.4800000004</v>
      </c>
      <c r="E4" s="32"/>
      <c r="F4" s="33">
        <f>Table13[[#This Row],[428 Cost]]+Table13[[#This Row],[406 MIT Cost ]]</f>
        <v>24607290.48</v>
      </c>
      <c r="G4" s="32" t="s">
        <v>52</v>
      </c>
      <c r="H4" s="37" t="s">
        <v>54</v>
      </c>
      <c r="I4" s="34">
        <f>VLOOKUP(Table13[[#This Row],[FEMA ID]],'[1]PREB Report (2)'!$B$8:$W$32,20,FALSE)</f>
        <v>46228</v>
      </c>
    </row>
    <row r="5" spans="1:10" ht="29.5" customHeight="1" x14ac:dyDescent="0.35">
      <c r="A5" s="30">
        <v>334811</v>
      </c>
      <c r="B5" s="31" t="s">
        <v>13</v>
      </c>
      <c r="C5" s="32">
        <v>123379970.5</v>
      </c>
      <c r="D5" s="32">
        <v>0</v>
      </c>
      <c r="E5" s="32"/>
      <c r="F5" s="33">
        <f>Table13[[#This Row],[428 Cost]]+Table13[[#This Row],[406 MIT Cost ]]</f>
        <v>123379970.5</v>
      </c>
      <c r="G5" s="32" t="s">
        <v>58</v>
      </c>
      <c r="H5" s="37" t="s">
        <v>54</v>
      </c>
      <c r="I5" s="34">
        <f>VLOOKUP(Table13[[#This Row],[FEMA ID]],'[1]PREB Report (2)'!$B$8:$W$32,20,FALSE)</f>
        <v>46569</v>
      </c>
      <c r="J5" s="3" t="s">
        <v>62</v>
      </c>
    </row>
    <row r="6" spans="1:10" ht="29.5" customHeight="1" x14ac:dyDescent="0.35">
      <c r="A6" s="30">
        <v>178722</v>
      </c>
      <c r="B6" s="31" t="s">
        <v>14</v>
      </c>
      <c r="C6" s="32">
        <v>87072982</v>
      </c>
      <c r="D6" s="32">
        <v>0</v>
      </c>
      <c r="E6" s="32"/>
      <c r="F6" s="33">
        <f>Table13[[#This Row],[428 Cost]]+Table13[[#This Row],[406 MIT Cost ]]</f>
        <v>87072982</v>
      </c>
      <c r="G6" s="32" t="s">
        <v>59</v>
      </c>
      <c r="H6" s="37" t="s">
        <v>54</v>
      </c>
      <c r="I6" s="34">
        <f>VLOOKUP(Table13[[#This Row],[FEMA ID]],'[1]PREB Report (2)'!$B$8:$W$32,20,FALSE)</f>
        <v>46538</v>
      </c>
      <c r="J6" s="3" t="s">
        <v>62</v>
      </c>
    </row>
    <row r="7" spans="1:10" ht="29.5" customHeight="1" x14ac:dyDescent="0.35">
      <c r="A7" s="30">
        <v>334772</v>
      </c>
      <c r="B7" s="31" t="s">
        <v>15</v>
      </c>
      <c r="C7" s="32">
        <v>6452231</v>
      </c>
      <c r="D7" s="32">
        <v>15540000</v>
      </c>
      <c r="E7" s="32"/>
      <c r="F7" s="33">
        <f>Table13[[#This Row],[428 Cost]]+Table13[[#This Row],[406 MIT Cost ]]</f>
        <v>21992231</v>
      </c>
      <c r="G7" s="32" t="s">
        <v>56</v>
      </c>
      <c r="H7" s="38">
        <v>46295</v>
      </c>
      <c r="I7" s="34">
        <f>VLOOKUP(Table13[[#This Row],[FEMA ID]],'[1]PREB Report (2)'!$B$8:$W$32,20,FALSE)</f>
        <v>46661</v>
      </c>
      <c r="J7" s="3" t="s">
        <v>61</v>
      </c>
    </row>
    <row r="8" spans="1:10" ht="29.5" customHeight="1" x14ac:dyDescent="0.35">
      <c r="A8" s="30">
        <v>335206</v>
      </c>
      <c r="B8" s="31" t="s">
        <v>16</v>
      </c>
      <c r="C8" s="32">
        <v>8055082</v>
      </c>
      <c r="D8" s="32">
        <v>6190000</v>
      </c>
      <c r="E8" s="32"/>
      <c r="F8" s="33">
        <f>Table13[[#This Row],[428 Cost]]+Table13[[#This Row],[406 MIT Cost ]]</f>
        <v>14245082</v>
      </c>
      <c r="G8" s="32" t="s">
        <v>56</v>
      </c>
      <c r="H8" s="38">
        <v>46295</v>
      </c>
      <c r="I8" s="34">
        <f>VLOOKUP(Table13[[#This Row],[FEMA ID]],'[1]PREB Report (2)'!$B$8:$W$32,20,FALSE)</f>
        <v>46478</v>
      </c>
      <c r="J8" s="3" t="s">
        <v>61</v>
      </c>
    </row>
    <row r="9" spans="1:10" ht="29.5" customHeight="1" x14ac:dyDescent="0.35">
      <c r="A9" s="30">
        <v>335207</v>
      </c>
      <c r="B9" s="31" t="s">
        <v>17</v>
      </c>
      <c r="C9" s="35">
        <v>3143743</v>
      </c>
      <c r="D9" s="32">
        <v>6200000</v>
      </c>
      <c r="E9" s="32"/>
      <c r="F9" s="33">
        <f>Table13[[#This Row],[428 Cost]]+Table13[[#This Row],[406 MIT Cost ]]</f>
        <v>9343743</v>
      </c>
      <c r="G9" s="32" t="s">
        <v>56</v>
      </c>
      <c r="H9" s="38">
        <v>46295</v>
      </c>
      <c r="I9" s="34">
        <f>VLOOKUP(Table13[[#This Row],[FEMA ID]],'[1]PREB Report (2)'!$B$8:$W$32,20,FALSE)</f>
        <v>46420</v>
      </c>
      <c r="J9" s="3" t="s">
        <v>61</v>
      </c>
    </row>
    <row r="10" spans="1:10" ht="29.5" customHeight="1" x14ac:dyDescent="0.35">
      <c r="A10" s="30">
        <v>334803</v>
      </c>
      <c r="B10" s="31" t="s">
        <v>18</v>
      </c>
      <c r="C10" s="32">
        <v>8080000</v>
      </c>
      <c r="D10" s="32">
        <v>5750000</v>
      </c>
      <c r="E10" s="32"/>
      <c r="F10" s="33">
        <f>Table13[[#This Row],[428 Cost]]+Table13[[#This Row],[406 MIT Cost ]]</f>
        <v>13830000</v>
      </c>
      <c r="G10" s="32" t="s">
        <v>60</v>
      </c>
      <c r="H10" s="38">
        <v>46142</v>
      </c>
      <c r="I10" s="34">
        <f>VLOOKUP(Table13[[#This Row],[FEMA ID]],'[1]PREB Report (2)'!$B$8:$W$32,20,FALSE)</f>
        <v>46357</v>
      </c>
      <c r="J10" s="3" t="s">
        <v>61</v>
      </c>
    </row>
    <row r="11" spans="1:10" ht="29.5" customHeight="1" x14ac:dyDescent="0.35">
      <c r="A11" s="30">
        <v>334813</v>
      </c>
      <c r="B11" s="31" t="s">
        <v>19</v>
      </c>
      <c r="C11" s="32">
        <v>17260000</v>
      </c>
      <c r="D11" s="32">
        <v>5800000</v>
      </c>
      <c r="E11" s="32"/>
      <c r="F11" s="33">
        <f>Table13[[#This Row],[428 Cost]]+Table13[[#This Row],[406 MIT Cost ]]</f>
        <v>23060000</v>
      </c>
      <c r="G11" s="32" t="s">
        <v>60</v>
      </c>
      <c r="H11" s="38">
        <v>46142</v>
      </c>
      <c r="I11" s="34">
        <f>VLOOKUP(Table13[[#This Row],[FEMA ID]],'[1]PREB Report (2)'!$B$8:$W$32,20,FALSE)</f>
        <v>46600</v>
      </c>
      <c r="J11" s="3" t="s">
        <v>61</v>
      </c>
    </row>
    <row r="12" spans="1:10" ht="29.5" customHeight="1" x14ac:dyDescent="0.35">
      <c r="A12" s="30">
        <v>334773</v>
      </c>
      <c r="B12" s="31" t="s">
        <v>20</v>
      </c>
      <c r="C12" s="32">
        <v>40020000</v>
      </c>
      <c r="D12" s="32">
        <v>25590000</v>
      </c>
      <c r="E12" s="32"/>
      <c r="F12" s="33">
        <f>Table13[[#This Row],[428 Cost]]+Table13[[#This Row],[406 MIT Cost ]]</f>
        <v>65610000</v>
      </c>
      <c r="G12" s="32" t="s">
        <v>60</v>
      </c>
      <c r="H12" s="38">
        <v>46142</v>
      </c>
      <c r="I12" s="34">
        <f>VLOOKUP(Table13[[#This Row],[FEMA ID]],'[1]PREB Report (2)'!$B$8:$W$32,20,FALSE)</f>
        <v>46539</v>
      </c>
      <c r="J12" s="3" t="s">
        <v>61</v>
      </c>
    </row>
    <row r="13" spans="1:10" ht="29.5" customHeight="1" x14ac:dyDescent="0.35">
      <c r="A13" s="30">
        <v>334798</v>
      </c>
      <c r="B13" s="31" t="s">
        <v>22</v>
      </c>
      <c r="C13" s="35">
        <v>3918132</v>
      </c>
      <c r="D13" s="32">
        <v>0</v>
      </c>
      <c r="E13" s="32"/>
      <c r="F13" s="33">
        <f>Table13[[#This Row],[428 Cost]]+Table13[[#This Row],[406 MIT Cost ]]</f>
        <v>3918132</v>
      </c>
      <c r="G13" s="32" t="s">
        <v>56</v>
      </c>
      <c r="H13" s="38">
        <v>46080</v>
      </c>
      <c r="I13" s="34">
        <f>VLOOKUP(Table13[[#This Row],[FEMA ID]],'[1]PREB Report (2)'!$B$8:$W$32,20,FALSE)</f>
        <v>46433</v>
      </c>
      <c r="J13" s="3" t="s">
        <v>62</v>
      </c>
    </row>
    <row r="14" spans="1:10" ht="29.5" customHeight="1" x14ac:dyDescent="0.35">
      <c r="A14" s="30">
        <v>334769</v>
      </c>
      <c r="B14" s="31" t="s">
        <v>23</v>
      </c>
      <c r="C14" s="32">
        <v>11154286</v>
      </c>
      <c r="D14" s="32">
        <v>0</v>
      </c>
      <c r="E14" s="32"/>
      <c r="F14" s="33">
        <f>Table13[[#This Row],[428 Cost]]+Table13[[#This Row],[406 MIT Cost ]]</f>
        <v>11154286</v>
      </c>
      <c r="G14" s="32" t="s">
        <v>56</v>
      </c>
      <c r="H14" s="38">
        <v>46080</v>
      </c>
      <c r="I14" s="34">
        <f>VLOOKUP(Table13[[#This Row],[FEMA ID]],'[1]PREB Report (2)'!$B$8:$W$32,20,FALSE)</f>
        <v>46548</v>
      </c>
      <c r="J14" s="3" t="s">
        <v>62</v>
      </c>
    </row>
    <row r="15" spans="1:10" ht="29.5" customHeight="1" x14ac:dyDescent="0.35">
      <c r="A15" s="36">
        <v>435769</v>
      </c>
      <c r="B15" s="31" t="s">
        <v>11</v>
      </c>
      <c r="C15" s="35">
        <f>117758206.89-28512324.97</f>
        <v>89245881.920000002</v>
      </c>
      <c r="D15" s="32">
        <v>27093224.609999999</v>
      </c>
      <c r="E15" s="32"/>
      <c r="F15" s="33">
        <f>Table13[[#This Row],[428 Cost]]+Table13[[#This Row],[406 MIT Cost ]]</f>
        <v>116339106.53</v>
      </c>
      <c r="G15" s="32" t="s">
        <v>63</v>
      </c>
      <c r="H15" s="39">
        <v>46173</v>
      </c>
      <c r="I15" s="34">
        <f>VLOOKUP(Table13[[#This Row],[FEMA ID]],'[1]PREB Report (2)'!$B$8:$W$32,20,FALSE)</f>
        <v>46143</v>
      </c>
      <c r="J15" s="3" t="s">
        <v>61</v>
      </c>
    </row>
    <row r="16" spans="1:10" ht="29.5" customHeight="1" x14ac:dyDescent="0.35">
      <c r="A16" s="30">
        <v>436462</v>
      </c>
      <c r="B16" s="31" t="s">
        <v>12</v>
      </c>
      <c r="C16" s="32">
        <v>37270276.119999997</v>
      </c>
      <c r="D16" s="32">
        <v>5302995.4000000004</v>
      </c>
      <c r="E16" s="32"/>
      <c r="F16" s="33">
        <f>Table13[[#This Row],[428 Cost]]+Table13[[#This Row],[406 MIT Cost ]]</f>
        <v>42573271.519999996</v>
      </c>
      <c r="G16" s="32" t="s">
        <v>56</v>
      </c>
      <c r="H16" s="39">
        <v>46234</v>
      </c>
      <c r="I16" s="34">
        <f>VLOOKUP(Table13[[#This Row],[FEMA ID]],'[1]PREB Report (2)'!$B$8:$W$32,20,FALSE)</f>
        <v>46204</v>
      </c>
      <c r="J16" s="3" t="s">
        <v>62</v>
      </c>
    </row>
    <row r="17" spans="1:10" ht="29.5" customHeight="1" x14ac:dyDescent="0.35">
      <c r="A17" s="29" t="s">
        <v>43</v>
      </c>
      <c r="B17" s="31" t="s">
        <v>44</v>
      </c>
      <c r="C17" s="41">
        <v>15000000</v>
      </c>
      <c r="D17" s="32">
        <v>0</v>
      </c>
      <c r="E17" s="41">
        <v>17000000</v>
      </c>
      <c r="F17" s="33">
        <f>Table13[[#This Row],[428 Cost]]+Table13[[#This Row],[406 MIT Cost ]]</f>
        <v>15000000</v>
      </c>
      <c r="G17" s="41" t="s">
        <v>64</v>
      </c>
      <c r="H17" s="40" t="s">
        <v>45</v>
      </c>
      <c r="I17" s="34" t="s">
        <v>45</v>
      </c>
    </row>
    <row r="18" spans="1:10" ht="29.5" customHeight="1" x14ac:dyDescent="0.35">
      <c r="A18" s="30">
        <v>721184</v>
      </c>
      <c r="B18" s="31" t="s">
        <v>9</v>
      </c>
      <c r="C18" s="32">
        <v>163467420</v>
      </c>
      <c r="D18" s="32">
        <v>156302821</v>
      </c>
      <c r="E18" s="32"/>
      <c r="F18" s="33">
        <f>Table13[[#This Row],[428 Cost]]+Table13[[#This Row],[406 MIT Cost ]]</f>
        <v>319770241</v>
      </c>
      <c r="G18" s="32" t="s">
        <v>56</v>
      </c>
      <c r="H18" s="39" t="s">
        <v>45</v>
      </c>
      <c r="I18" s="34">
        <f>VLOOKUP(Table13[[#This Row],[FEMA ID]],'[1]PREB Report (2)'!$B$8:$W$32,20,FALSE)</f>
        <v>47818</v>
      </c>
    </row>
    <row r="19" spans="1:10" ht="29.5" customHeight="1" x14ac:dyDescent="0.35">
      <c r="A19" s="30">
        <v>728260</v>
      </c>
      <c r="B19" s="31" t="s">
        <v>10</v>
      </c>
      <c r="C19" s="32">
        <v>3611152</v>
      </c>
      <c r="D19" s="32">
        <v>0</v>
      </c>
      <c r="E19" s="32"/>
      <c r="F19" s="33">
        <f>Table13[[#This Row],[428 Cost]]+Table13[[#This Row],[406 MIT Cost ]]</f>
        <v>3611152</v>
      </c>
      <c r="G19" s="32" t="s">
        <v>56</v>
      </c>
      <c r="H19" s="39">
        <v>46173</v>
      </c>
      <c r="I19" s="34">
        <f>VLOOKUP(Table13[[#This Row],[FEMA ID]],'[1]PREB Report (2)'!$B$8:$W$32,20,FALSE)</f>
        <v>46477</v>
      </c>
      <c r="J19" s="3" t="s">
        <v>62</v>
      </c>
    </row>
    <row r="20" spans="1:10" ht="29.5" customHeight="1" x14ac:dyDescent="0.35">
      <c r="A20" s="30">
        <v>180723</v>
      </c>
      <c r="B20" s="31" t="s">
        <v>5</v>
      </c>
      <c r="C20" s="32">
        <v>22911551</v>
      </c>
      <c r="D20" s="32">
        <v>26094024.550000001</v>
      </c>
      <c r="E20" s="32"/>
      <c r="F20" s="33">
        <f>Table13[[#This Row],[428 Cost]]+Table13[[#This Row],[406 MIT Cost ]]</f>
        <v>49005575.549999997</v>
      </c>
      <c r="G20" s="32" t="s">
        <v>56</v>
      </c>
      <c r="H20" s="39">
        <v>46173</v>
      </c>
      <c r="I20" s="34">
        <f>VLOOKUP(Table13[[#This Row],[FEMA ID]],'[1]PREB Report (2)'!$B$8:$W$32,20,FALSE)</f>
        <v>46295</v>
      </c>
    </row>
    <row r="21" spans="1:10" ht="29.5" customHeight="1" x14ac:dyDescent="0.35">
      <c r="A21" s="30">
        <v>436468</v>
      </c>
      <c r="B21" s="31" t="s">
        <v>6</v>
      </c>
      <c r="C21" s="32">
        <v>43483764.170000002</v>
      </c>
      <c r="D21" s="32">
        <v>13760297.539999999</v>
      </c>
      <c r="E21" s="32"/>
      <c r="F21" s="33">
        <f>Table13[[#This Row],[428 Cost]]+Table13[[#This Row],[406 MIT Cost ]]</f>
        <v>57244061.710000001</v>
      </c>
      <c r="G21" s="32" t="s">
        <v>56</v>
      </c>
      <c r="H21" s="39">
        <v>46173</v>
      </c>
      <c r="I21" s="34">
        <f>VLOOKUP(Table13[[#This Row],[FEMA ID]],'[1]PREB Report (2)'!$B$8:$W$32,20,FALSE)</f>
        <v>46295</v>
      </c>
    </row>
    <row r="22" spans="1:10" x14ac:dyDescent="0.35">
      <c r="C22" s="4">
        <f>SUBTOTAL(109,C2:C21)</f>
        <v>1307082844.71</v>
      </c>
      <c r="I22" s="15"/>
    </row>
    <row r="23" spans="1:10" x14ac:dyDescent="0.35">
      <c r="B23" s="3"/>
      <c r="C23" s="3"/>
      <c r="D23" s="3"/>
      <c r="F23" s="11"/>
      <c r="G23" s="11"/>
      <c r="H23" s="11"/>
    </row>
    <row r="24" spans="1:10" x14ac:dyDescent="0.35">
      <c r="B24" s="3"/>
      <c r="C24" s="3"/>
      <c r="D24" s="3"/>
      <c r="F24" s="11"/>
      <c r="G24" s="11"/>
      <c r="H24" s="11"/>
    </row>
    <row r="25" spans="1:10" x14ac:dyDescent="0.35">
      <c r="B25" s="3"/>
      <c r="C25" s="3"/>
      <c r="D25" s="3"/>
      <c r="F25" s="11"/>
      <c r="G25" s="11"/>
      <c r="H25" s="11"/>
    </row>
    <row r="26" spans="1:10" x14ac:dyDescent="0.35">
      <c r="B26" s="3"/>
      <c r="C26" s="3"/>
      <c r="D26" s="3"/>
      <c r="F26" s="11"/>
      <c r="G26" s="11"/>
      <c r="H26" s="11"/>
    </row>
    <row r="27" spans="1:10" x14ac:dyDescent="0.35">
      <c r="B27" s="3"/>
      <c r="C27" s="3"/>
      <c r="D27" s="3"/>
      <c r="F27" s="11"/>
      <c r="G27" s="11"/>
      <c r="H27" s="11"/>
    </row>
    <row r="28" spans="1:10" x14ac:dyDescent="0.35">
      <c r="B28" s="3"/>
      <c r="C28" s="3"/>
      <c r="D28" s="3"/>
      <c r="F28" s="11"/>
      <c r="G28" s="11"/>
      <c r="H28" s="11"/>
    </row>
    <row r="29" spans="1:10" x14ac:dyDescent="0.35">
      <c r="B29" s="3"/>
      <c r="C29" s="3"/>
      <c r="D29" s="3"/>
      <c r="F29" s="11"/>
      <c r="G29" s="11"/>
      <c r="H29" s="11"/>
    </row>
    <row r="30" spans="1:10" x14ac:dyDescent="0.35">
      <c r="B30" s="3"/>
      <c r="C30" s="3"/>
      <c r="D30" s="3"/>
      <c r="F30" s="11"/>
      <c r="G30" s="11"/>
      <c r="H30" s="11"/>
    </row>
    <row r="31" spans="1:10" x14ac:dyDescent="0.35">
      <c r="B31" s="3"/>
      <c r="C31" s="3"/>
      <c r="D31" s="3"/>
      <c r="F31" s="11"/>
      <c r="G31" s="11"/>
      <c r="H31" s="11"/>
    </row>
    <row r="32" spans="1:10" x14ac:dyDescent="0.35">
      <c r="B32" s="3"/>
      <c r="C32" s="3"/>
      <c r="D32" s="3"/>
      <c r="F32" s="11"/>
      <c r="G32" s="11"/>
      <c r="H32" s="11"/>
    </row>
    <row r="33" spans="2:8" x14ac:dyDescent="0.35">
      <c r="B33" s="3"/>
      <c r="C33" s="3"/>
      <c r="D33" s="3"/>
      <c r="F33" s="11"/>
      <c r="G33" s="11"/>
      <c r="H33" s="11"/>
    </row>
    <row r="34" spans="2:8" x14ac:dyDescent="0.35">
      <c r="B34" s="3"/>
      <c r="C34" s="3"/>
      <c r="D34" s="3"/>
      <c r="F34" s="11"/>
      <c r="G34" s="11"/>
      <c r="H34" s="11"/>
    </row>
    <row r="35" spans="2:8" x14ac:dyDescent="0.35">
      <c r="B35" s="3"/>
      <c r="C35" s="3"/>
      <c r="D35" s="3"/>
      <c r="F35" s="11"/>
      <c r="G35" s="11"/>
      <c r="H35" s="11"/>
    </row>
    <row r="36" spans="2:8" x14ac:dyDescent="0.35">
      <c r="B36" s="3"/>
      <c r="C36" s="3"/>
      <c r="D36" s="3"/>
      <c r="F36" s="11"/>
      <c r="G36" s="11"/>
      <c r="H36" s="11"/>
    </row>
    <row r="37" spans="2:8" x14ac:dyDescent="0.35">
      <c r="B37" s="3"/>
      <c r="C37" s="3"/>
      <c r="D37" s="3"/>
      <c r="F37" s="11"/>
      <c r="G37" s="11"/>
      <c r="H37" s="11"/>
    </row>
    <row r="38" spans="2:8" x14ac:dyDescent="0.35">
      <c r="B38" s="3"/>
      <c r="C38" s="3"/>
      <c r="D38" s="3"/>
      <c r="F38" s="11"/>
      <c r="G38" s="11"/>
      <c r="H38" s="11"/>
    </row>
    <row r="39" spans="2:8" x14ac:dyDescent="0.35">
      <c r="B39" s="3"/>
      <c r="C39" s="3"/>
      <c r="D39" s="3"/>
      <c r="F39" s="11"/>
      <c r="G39" s="11"/>
      <c r="H39" s="11"/>
    </row>
    <row r="40" spans="2:8" x14ac:dyDescent="0.35">
      <c r="B40" s="3"/>
      <c r="C40" s="3"/>
      <c r="D40" s="3"/>
      <c r="F40" s="11"/>
      <c r="G40" s="11"/>
      <c r="H40" s="11"/>
    </row>
    <row r="41" spans="2:8" x14ac:dyDescent="0.35">
      <c r="B41" s="3"/>
      <c r="C41" s="3"/>
      <c r="D41" s="3"/>
      <c r="F41" s="11"/>
      <c r="G41" s="11"/>
      <c r="H41" s="11"/>
    </row>
    <row r="42" spans="2:8" x14ac:dyDescent="0.35">
      <c r="B42" s="3"/>
      <c r="C42" s="3"/>
      <c r="D42" s="3"/>
      <c r="F42" s="11"/>
      <c r="G42" s="11"/>
      <c r="H42" s="11"/>
    </row>
    <row r="43" spans="2:8" x14ac:dyDescent="0.35">
      <c r="B43" s="3"/>
      <c r="C43" s="3"/>
      <c r="D43" s="3"/>
      <c r="F43" s="11"/>
      <c r="G43" s="11"/>
      <c r="H43" s="11"/>
    </row>
    <row r="44" spans="2:8" x14ac:dyDescent="0.35">
      <c r="B44" s="3"/>
      <c r="C44" s="3"/>
      <c r="D44" s="3"/>
      <c r="F44" s="11"/>
      <c r="G44" s="11"/>
      <c r="H44" s="11"/>
    </row>
    <row r="45" spans="2:8" x14ac:dyDescent="0.35">
      <c r="B45" s="3"/>
      <c r="C45" s="3"/>
      <c r="D45" s="3"/>
      <c r="F45" s="11"/>
      <c r="G45" s="11"/>
      <c r="H45" s="11"/>
    </row>
    <row r="46" spans="2:8" x14ac:dyDescent="0.35">
      <c r="B46" s="3"/>
      <c r="C46" s="3"/>
      <c r="D46" s="3"/>
      <c r="F46" s="11"/>
      <c r="G46" s="11"/>
      <c r="H46" s="11"/>
    </row>
    <row r="47" spans="2:8" x14ac:dyDescent="0.35">
      <c r="B47" s="3"/>
      <c r="C47" s="3"/>
      <c r="D47" s="3"/>
      <c r="F47" s="11"/>
      <c r="G47" s="11"/>
      <c r="H47" s="11"/>
    </row>
    <row r="48" spans="2:8" x14ac:dyDescent="0.35">
      <c r="B48" s="3"/>
      <c r="C48" s="3"/>
      <c r="D48" s="3"/>
      <c r="F48" s="11"/>
      <c r="G48" s="11"/>
      <c r="H48" s="11"/>
    </row>
    <row r="49" spans="2:8" x14ac:dyDescent="0.35">
      <c r="B49" s="3"/>
      <c r="C49" s="3"/>
      <c r="D49" s="3"/>
      <c r="F49" s="11"/>
      <c r="G49" s="11"/>
      <c r="H49" s="11"/>
    </row>
    <row r="50" spans="2:8" x14ac:dyDescent="0.35">
      <c r="B50" s="3"/>
      <c r="C50" s="3"/>
      <c r="D50" s="3"/>
    </row>
    <row r="51" spans="2:8" x14ac:dyDescent="0.35">
      <c r="B51" s="3"/>
      <c r="C51" s="3"/>
      <c r="D51" s="3"/>
    </row>
    <row r="52" spans="2:8" x14ac:dyDescent="0.35">
      <c r="B52" s="3"/>
      <c r="C52" s="3"/>
      <c r="D52" s="3"/>
    </row>
    <row r="53" spans="2:8" x14ac:dyDescent="0.35">
      <c r="B53" s="3"/>
      <c r="C53" s="3"/>
      <c r="D53" s="3"/>
    </row>
    <row r="54" spans="2:8" x14ac:dyDescent="0.35">
      <c r="B54" s="3"/>
      <c r="C54" s="3"/>
      <c r="D54" s="3"/>
    </row>
    <row r="55" spans="2:8" x14ac:dyDescent="0.35">
      <c r="B55" s="3"/>
      <c r="C55" s="3"/>
      <c r="D55" s="3"/>
    </row>
    <row r="56" spans="2:8" x14ac:dyDescent="0.35">
      <c r="B56" s="3"/>
      <c r="C56" s="3"/>
      <c r="D56" s="3"/>
    </row>
    <row r="57" spans="2:8" x14ac:dyDescent="0.35">
      <c r="B57" s="3"/>
      <c r="C57" s="3"/>
      <c r="D57" s="3"/>
    </row>
    <row r="58" spans="2:8" x14ac:dyDescent="0.35">
      <c r="B58" s="3"/>
      <c r="C58" s="3"/>
      <c r="D58" s="3"/>
    </row>
    <row r="59" spans="2:8" x14ac:dyDescent="0.35">
      <c r="B59" s="3"/>
      <c r="C59" s="3"/>
      <c r="D59" s="3"/>
    </row>
    <row r="60" spans="2:8" x14ac:dyDescent="0.35">
      <c r="B60" s="3"/>
      <c r="C60" s="3"/>
      <c r="D60" s="3"/>
    </row>
    <row r="61" spans="2:8" x14ac:dyDescent="0.35">
      <c r="B61" s="3"/>
      <c r="C61" s="3"/>
      <c r="D61" s="3"/>
    </row>
    <row r="62" spans="2:8" x14ac:dyDescent="0.35">
      <c r="B62" s="3"/>
      <c r="C62" s="3"/>
      <c r="D62" s="3"/>
    </row>
    <row r="63" spans="2:8" x14ac:dyDescent="0.35">
      <c r="B63" s="3"/>
      <c r="C63" s="3"/>
      <c r="D63" s="3"/>
    </row>
    <row r="64" spans="2:8" x14ac:dyDescent="0.35">
      <c r="B64" s="3"/>
      <c r="C64" s="3"/>
      <c r="D64" s="3"/>
    </row>
    <row r="65" spans="2:4" x14ac:dyDescent="0.35">
      <c r="B65" s="3"/>
      <c r="C65" s="3"/>
      <c r="D65" s="3"/>
    </row>
    <row r="66" spans="2:4" x14ac:dyDescent="0.35">
      <c r="B66" s="3"/>
      <c r="C66" s="3"/>
      <c r="D66" s="3"/>
    </row>
    <row r="67" spans="2:4" x14ac:dyDescent="0.35">
      <c r="B67" s="3"/>
      <c r="C67" s="3"/>
      <c r="D67" s="3"/>
    </row>
  </sheetData>
  <phoneticPr fontId="3" type="noConversion"/>
  <pageMargins left="0.7" right="0.7" top="0.75" bottom="0.75" header="0.3" footer="0.3"/>
  <pageSetup scale="10" fitToWidth="0" fitToHeight="0" orientation="portrait" horizontalDpi="1200" verticalDpi="1200" r:id="rId1"/>
  <ignoredErrors>
    <ignoredError sqref="F2:F21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AACA-1B5E-4012-A0C2-19ADA3F72419}">
  <dimension ref="A1:O73"/>
  <sheetViews>
    <sheetView showGridLines="0" zoomScale="81" zoomScaleNormal="81" workbookViewId="0">
      <selection sqref="A1:N25"/>
    </sheetView>
  </sheetViews>
  <sheetFormatPr defaultColWidth="8.81640625" defaultRowHeight="14.5" x14ac:dyDescent="0.35"/>
  <cols>
    <col min="1" max="1" width="10.453125" style="3" customWidth="1"/>
    <col min="2" max="2" width="10.453125" style="3" hidden="1" customWidth="1"/>
    <col min="3" max="3" width="48.36328125" style="6" customWidth="1"/>
    <col min="4" max="4" width="20.36328125" style="4" customWidth="1"/>
    <col min="5" max="5" width="20.6328125" style="4" customWidth="1"/>
    <col min="6" max="6" width="20" style="3" customWidth="1"/>
    <col min="7" max="7" width="20.453125" style="12" customWidth="1"/>
    <col min="8" max="8" width="10.6328125" style="13" customWidth="1"/>
    <col min="9" max="9" width="14.36328125" style="3" customWidth="1"/>
    <col min="10" max="14" width="19" style="14" customWidth="1"/>
    <col min="15" max="15" width="72" style="3" bestFit="1" customWidth="1"/>
    <col min="16" max="16384" width="8.81640625" style="3"/>
  </cols>
  <sheetData>
    <row r="1" spans="1:15" s="7" customFormat="1" ht="43.5" x14ac:dyDescent="0.35">
      <c r="A1" s="8" t="s">
        <v>0</v>
      </c>
      <c r="B1" s="8" t="s">
        <v>41</v>
      </c>
      <c r="C1" s="8" t="s">
        <v>1</v>
      </c>
      <c r="D1" s="9" t="s">
        <v>2</v>
      </c>
      <c r="E1" s="9" t="s">
        <v>4</v>
      </c>
      <c r="F1" s="8" t="s">
        <v>42</v>
      </c>
      <c r="G1" s="10" t="s">
        <v>26</v>
      </c>
      <c r="H1" s="8" t="s">
        <v>3</v>
      </c>
      <c r="I1" s="8" t="s">
        <v>27</v>
      </c>
      <c r="J1" s="8" t="s">
        <v>30</v>
      </c>
      <c r="K1" s="8" t="s">
        <v>36</v>
      </c>
      <c r="L1" s="8" t="s">
        <v>37</v>
      </c>
      <c r="M1" s="8" t="s">
        <v>40</v>
      </c>
      <c r="N1" s="8" t="s">
        <v>47</v>
      </c>
      <c r="O1" s="7" t="s">
        <v>39</v>
      </c>
    </row>
    <row r="2" spans="1:15" ht="29.5" customHeight="1" x14ac:dyDescent="0.35">
      <c r="A2" s="1">
        <v>5</v>
      </c>
      <c r="B2" s="23">
        <v>334770</v>
      </c>
      <c r="C2" s="2" t="s">
        <v>7</v>
      </c>
      <c r="D2" s="5">
        <v>566085576</v>
      </c>
      <c r="E2" s="5">
        <v>520884424</v>
      </c>
      <c r="F2" s="5"/>
      <c r="G2" s="22">
        <v>1086970000</v>
      </c>
      <c r="H2" s="1">
        <v>5</v>
      </c>
      <c r="I2" s="16" t="s">
        <v>29</v>
      </c>
      <c r="J2" s="21">
        <f>Table1[[#This Row],[Total Cost]]*2</f>
        <v>2173940000</v>
      </c>
      <c r="K2" s="15">
        <f>IFERROR(SUM(D2,#REF!,#REF!)*(1+MID(Table1[[#This Row],[Range]],FIND("+",Table1[[#This Row],[Range]])+1,LEN(Table1[[#This Row],[Range]])-FIND("+",Table1[[#This Row],[Range]])-1)/100),Table1[[#This Row],[Total Cost]])</f>
        <v>1086970000</v>
      </c>
      <c r="L2" s="15">
        <f>IFERROR(Table1[[#This Row],[406 MIT Cost ]]*(1+MID(Table1[[#This Row],[Range]],FIND("+",Table1[[#This Row],[Range]])+1,LEN(Table1[[#This Row],[Range]])-FIND("+",Table1[[#This Row],[Range]])-1)/100),0)</f>
        <v>1041768848</v>
      </c>
      <c r="M2" s="26">
        <f>VLOOKUP(Table1[[#This Row],[FEMA ID]],'[1]PREB Report (2)'!$B$8:$W$32,20,FALSE)</f>
        <v>47118</v>
      </c>
      <c r="N2" s="27" t="s">
        <v>48</v>
      </c>
    </row>
    <row r="3" spans="1:15" ht="29.5" customHeight="1" x14ac:dyDescent="0.35">
      <c r="A3" s="1">
        <v>6</v>
      </c>
      <c r="B3" s="23">
        <v>436621</v>
      </c>
      <c r="C3" s="2" t="s">
        <v>8</v>
      </c>
      <c r="D3" s="5">
        <v>15309227</v>
      </c>
      <c r="E3" s="5">
        <v>9298063.4800000004</v>
      </c>
      <c r="F3" s="5"/>
      <c r="G3" s="22">
        <v>24607290.48</v>
      </c>
      <c r="H3" s="1">
        <v>5</v>
      </c>
      <c r="I3" s="16" t="s">
        <v>29</v>
      </c>
      <c r="J3" s="21">
        <f>Table1[[#This Row],[Total Cost]]*2</f>
        <v>49214580.960000001</v>
      </c>
      <c r="K3" s="15">
        <f>IFERROR(SUM(D3,#REF!,#REF!)*(1+MID(Table1[[#This Row],[Range]],FIND("+",Table1[[#This Row],[Range]])+1,LEN(Table1[[#This Row],[Range]])-FIND("+",Table1[[#This Row],[Range]])-1)/100),Table1[[#This Row],[Total Cost]])</f>
        <v>24607290.48</v>
      </c>
      <c r="L3" s="15">
        <f>IFERROR(Table1[[#This Row],[406 MIT Cost ]]*(1+MID(Table1[[#This Row],[Range]],FIND("+",Table1[[#This Row],[Range]])+1,LEN(Table1[[#This Row],[Range]])-FIND("+",Table1[[#This Row],[Range]])-1)/100),0)</f>
        <v>18596126.960000001</v>
      </c>
      <c r="M3" s="26">
        <f>VLOOKUP(Table1[[#This Row],[FEMA ID]],'[1]PREB Report (2)'!$B$8:$W$32,20,FALSE)</f>
        <v>46228</v>
      </c>
      <c r="N3" s="27" t="s">
        <v>45</v>
      </c>
    </row>
    <row r="4" spans="1:15" ht="29.5" customHeight="1" x14ac:dyDescent="0.35">
      <c r="A4" s="1">
        <f>A17+1</f>
        <v>12</v>
      </c>
      <c r="B4" s="23">
        <v>334811</v>
      </c>
      <c r="C4" s="2" t="s">
        <v>13</v>
      </c>
      <c r="D4" s="5">
        <v>123379970.5</v>
      </c>
      <c r="E4" s="5">
        <v>0</v>
      </c>
      <c r="F4" s="5"/>
      <c r="G4" s="22">
        <v>123379970.5</v>
      </c>
      <c r="H4" s="1">
        <v>3</v>
      </c>
      <c r="I4" s="16" t="s">
        <v>28</v>
      </c>
      <c r="J4" s="21">
        <f>Table1[[#This Row],[Total Cost]]*1.2</f>
        <v>148055964.59999999</v>
      </c>
      <c r="K4" s="15">
        <f>IFERROR(SUM(D4,#REF!,#REF!)*(1+MID(Table1[[#This Row],[Range]],FIND("+",Table1[[#This Row],[Range]])+1,LEN(Table1[[#This Row],[Range]])-FIND("+",Table1[[#This Row],[Range]])-1)/100),Table1[[#This Row],[Total Cost]])</f>
        <v>123379970.5</v>
      </c>
      <c r="L4" s="15">
        <f>IFERROR(Table1[[#This Row],[406 MIT Cost ]]*(1+MID(Table1[[#This Row],[Range]],FIND("+",Table1[[#This Row],[Range]])+1,LEN(Table1[[#This Row],[Range]])-FIND("+",Table1[[#This Row],[Range]])-1)/100),0)</f>
        <v>0</v>
      </c>
      <c r="M4" s="26">
        <f>VLOOKUP(Table1[[#This Row],[FEMA ID]],'[1]PREB Report (2)'!$B$8:$W$32,20,FALSE)</f>
        <v>46569</v>
      </c>
      <c r="N4" s="27" t="s">
        <v>48</v>
      </c>
    </row>
    <row r="5" spans="1:15" ht="29.5" customHeight="1" x14ac:dyDescent="0.35">
      <c r="A5" s="1">
        <f t="shared" ref="A5:A23" si="0">A4+1</f>
        <v>13</v>
      </c>
      <c r="B5" s="23">
        <v>178722</v>
      </c>
      <c r="C5" s="2" t="s">
        <v>14</v>
      </c>
      <c r="D5" s="5">
        <v>87072982</v>
      </c>
      <c r="E5" s="5">
        <v>0</v>
      </c>
      <c r="F5" s="5"/>
      <c r="G5" s="22">
        <v>87072982</v>
      </c>
      <c r="H5" s="1">
        <v>3</v>
      </c>
      <c r="I5" s="16" t="s">
        <v>28</v>
      </c>
      <c r="J5" s="21">
        <f>Table1[[#This Row],[Total Cost]]*1.2</f>
        <v>104487578.39999999</v>
      </c>
      <c r="K5" s="15">
        <f>IFERROR(SUM(D5,#REF!,#REF!)*(1+MID(Table1[[#This Row],[Range]],FIND("+",Table1[[#This Row],[Range]])+1,LEN(Table1[[#This Row],[Range]])-FIND("+",Table1[[#This Row],[Range]])-1)/100),Table1[[#This Row],[Total Cost]])</f>
        <v>87072982</v>
      </c>
      <c r="L5" s="15">
        <f>IFERROR(Table1[[#This Row],[406 MIT Cost ]]*(1+MID(Table1[[#This Row],[Range]],FIND("+",Table1[[#This Row],[Range]])+1,LEN(Table1[[#This Row],[Range]])-FIND("+",Table1[[#This Row],[Range]])-1)/100),0)</f>
        <v>0</v>
      </c>
      <c r="M5" s="26">
        <f>VLOOKUP(Table1[[#This Row],[FEMA ID]],'[1]PREB Report (2)'!$B$8:$W$32,20,FALSE)</f>
        <v>46538</v>
      </c>
      <c r="N5" s="27" t="s">
        <v>48</v>
      </c>
    </row>
    <row r="6" spans="1:15" ht="29.5" customHeight="1" x14ac:dyDescent="0.35">
      <c r="A6" s="1">
        <f t="shared" si="0"/>
        <v>14</v>
      </c>
      <c r="B6" s="23">
        <v>334772</v>
      </c>
      <c r="C6" s="2" t="s">
        <v>15</v>
      </c>
      <c r="D6" s="5">
        <v>20606934</v>
      </c>
      <c r="E6" s="5">
        <v>15540000</v>
      </c>
      <c r="F6" s="5"/>
      <c r="G6" s="22">
        <v>36146934</v>
      </c>
      <c r="H6" s="1">
        <v>5</v>
      </c>
      <c r="I6" s="16" t="s">
        <v>29</v>
      </c>
      <c r="J6" s="21">
        <f>Table1[[#This Row],[Total Cost]]*2</f>
        <v>72293868</v>
      </c>
      <c r="K6" s="15">
        <f>IFERROR(SUM(D6,#REF!,#REF!)*(1+MID(Table1[[#This Row],[Range]],FIND("+",Table1[[#This Row],[Range]])+1,LEN(Table1[[#This Row],[Range]])-FIND("+",Table1[[#This Row],[Range]])-1)/100),Table1[[#This Row],[Total Cost]])</f>
        <v>36146934</v>
      </c>
      <c r="L6" s="15">
        <f>IFERROR(Table1[[#This Row],[406 MIT Cost ]]*(1+MID(Table1[[#This Row],[Range]],FIND("+",Table1[[#This Row],[Range]])+1,LEN(Table1[[#This Row],[Range]])-FIND("+",Table1[[#This Row],[Range]])-1)/100),0)</f>
        <v>31080000</v>
      </c>
      <c r="M6" s="26">
        <f>VLOOKUP(Table1[[#This Row],[FEMA ID]],'[1]PREB Report (2)'!$B$8:$W$32,20,FALSE)</f>
        <v>46661</v>
      </c>
      <c r="N6" s="27" t="s">
        <v>48</v>
      </c>
    </row>
    <row r="7" spans="1:15" ht="29.5" customHeight="1" x14ac:dyDescent="0.35">
      <c r="A7" s="1">
        <f t="shared" si="0"/>
        <v>15</v>
      </c>
      <c r="B7" s="23">
        <v>335206</v>
      </c>
      <c r="C7" s="2" t="s">
        <v>16</v>
      </c>
      <c r="D7" s="5">
        <v>8055082</v>
      </c>
      <c r="E7" s="5">
        <v>6190000</v>
      </c>
      <c r="F7" s="5"/>
      <c r="G7" s="22">
        <v>14245082</v>
      </c>
      <c r="H7" s="1">
        <v>5</v>
      </c>
      <c r="I7" s="16" t="s">
        <v>29</v>
      </c>
      <c r="J7" s="21">
        <f>Table1[[#This Row],[Total Cost]]*2</f>
        <v>28490164</v>
      </c>
      <c r="K7" s="15">
        <f>IFERROR(SUM(D7,#REF!,#REF!)*(1+MID(Table1[[#This Row],[Range]],FIND("+",Table1[[#This Row],[Range]])+1,LEN(Table1[[#This Row],[Range]])-FIND("+",Table1[[#This Row],[Range]])-1)/100),Table1[[#This Row],[Total Cost]])</f>
        <v>14245082</v>
      </c>
      <c r="L7" s="15">
        <f>IFERROR(Table1[[#This Row],[406 MIT Cost ]]*(1+MID(Table1[[#This Row],[Range]],FIND("+",Table1[[#This Row],[Range]])+1,LEN(Table1[[#This Row],[Range]])-FIND("+",Table1[[#This Row],[Range]])-1)/100),0)</f>
        <v>12380000</v>
      </c>
      <c r="M7" s="26">
        <f>VLOOKUP(Table1[[#This Row],[FEMA ID]],'[1]PREB Report (2)'!$B$8:$W$32,20,FALSE)</f>
        <v>46478</v>
      </c>
      <c r="N7" s="27" t="s">
        <v>48</v>
      </c>
    </row>
    <row r="8" spans="1:15" ht="29.5" customHeight="1" x14ac:dyDescent="0.35">
      <c r="A8" s="1">
        <f t="shared" si="0"/>
        <v>16</v>
      </c>
      <c r="B8" s="23">
        <v>335207</v>
      </c>
      <c r="C8" s="2" t="s">
        <v>17</v>
      </c>
      <c r="D8" s="20">
        <v>3143743</v>
      </c>
      <c r="E8" s="5">
        <v>6200000</v>
      </c>
      <c r="F8" s="5"/>
      <c r="G8" s="22">
        <v>9343743</v>
      </c>
      <c r="H8" s="1">
        <v>5</v>
      </c>
      <c r="I8" s="16" t="s">
        <v>29</v>
      </c>
      <c r="J8" s="21">
        <f>Table1[[#This Row],[Total Cost]]*2</f>
        <v>18687486</v>
      </c>
      <c r="K8" s="15">
        <f>IFERROR(SUM(D8,#REF!,#REF!)*(1+MID(Table1[[#This Row],[Range]],FIND("+",Table1[[#This Row],[Range]])+1,LEN(Table1[[#This Row],[Range]])-FIND("+",Table1[[#This Row],[Range]])-1)/100),Table1[[#This Row],[Total Cost]])</f>
        <v>9343743</v>
      </c>
      <c r="L8" s="15">
        <f>IFERROR(Table1[[#This Row],[406 MIT Cost ]]*(1+MID(Table1[[#This Row],[Range]],FIND("+",Table1[[#This Row],[Range]])+1,LEN(Table1[[#This Row],[Range]])-FIND("+",Table1[[#This Row],[Range]])-1)/100),0)</f>
        <v>12400000</v>
      </c>
      <c r="M8" s="26">
        <f>VLOOKUP(Table1[[#This Row],[FEMA ID]],'[1]PREB Report (2)'!$B$8:$W$32,20,FALSE)</f>
        <v>46420</v>
      </c>
      <c r="N8" s="27" t="s">
        <v>48</v>
      </c>
    </row>
    <row r="9" spans="1:15" ht="29.5" customHeight="1" x14ac:dyDescent="0.35">
      <c r="A9" s="1">
        <f t="shared" si="0"/>
        <v>17</v>
      </c>
      <c r="B9" s="23">
        <v>334803</v>
      </c>
      <c r="C9" s="2" t="s">
        <v>18</v>
      </c>
      <c r="D9" s="5">
        <v>8080000</v>
      </c>
      <c r="E9" s="5">
        <v>5750000</v>
      </c>
      <c r="F9" s="5"/>
      <c r="G9" s="22">
        <v>13830000</v>
      </c>
      <c r="H9" s="1">
        <v>5</v>
      </c>
      <c r="I9" s="16" t="s">
        <v>29</v>
      </c>
      <c r="J9" s="21">
        <f>Table1[[#This Row],[Total Cost]]*2</f>
        <v>27660000</v>
      </c>
      <c r="K9" s="15">
        <f>IFERROR(SUM(D9,#REF!,#REF!)*(1+MID(Table1[[#This Row],[Range]],FIND("+",Table1[[#This Row],[Range]])+1,LEN(Table1[[#This Row],[Range]])-FIND("+",Table1[[#This Row],[Range]])-1)/100),Table1[[#This Row],[Total Cost]])</f>
        <v>13830000</v>
      </c>
      <c r="L9" s="15">
        <f>IFERROR(Table1[[#This Row],[406 MIT Cost ]]*(1+MID(Table1[[#This Row],[Range]],FIND("+",Table1[[#This Row],[Range]])+1,LEN(Table1[[#This Row],[Range]])-FIND("+",Table1[[#This Row],[Range]])-1)/100),0)</f>
        <v>11500000</v>
      </c>
      <c r="M9" s="26">
        <f>VLOOKUP(Table1[[#This Row],[FEMA ID]],'[1]PREB Report (2)'!$B$8:$W$32,20,FALSE)</f>
        <v>46357</v>
      </c>
      <c r="N9" s="27" t="s">
        <v>48</v>
      </c>
    </row>
    <row r="10" spans="1:15" ht="29.5" customHeight="1" x14ac:dyDescent="0.35">
      <c r="A10" s="1">
        <f t="shared" si="0"/>
        <v>18</v>
      </c>
      <c r="B10" s="23">
        <v>334813</v>
      </c>
      <c r="C10" s="2" t="s">
        <v>19</v>
      </c>
      <c r="D10" s="5">
        <v>17260000</v>
      </c>
      <c r="E10" s="5">
        <v>5800000</v>
      </c>
      <c r="F10" s="5"/>
      <c r="G10" s="22">
        <v>23060000</v>
      </c>
      <c r="H10" s="1">
        <v>5</v>
      </c>
      <c r="I10" s="16" t="s">
        <v>29</v>
      </c>
      <c r="J10" s="21">
        <f>Table1[[#This Row],[Total Cost]]*2</f>
        <v>46120000</v>
      </c>
      <c r="K10" s="15">
        <f>IFERROR(SUM(D10,#REF!,#REF!)*(1+MID(Table1[[#This Row],[Range]],FIND("+",Table1[[#This Row],[Range]])+1,LEN(Table1[[#This Row],[Range]])-FIND("+",Table1[[#This Row],[Range]])-1)/100),Table1[[#This Row],[Total Cost]])</f>
        <v>23060000</v>
      </c>
      <c r="L10" s="15">
        <f>IFERROR(Table1[[#This Row],[406 MIT Cost ]]*(1+MID(Table1[[#This Row],[Range]],FIND("+",Table1[[#This Row],[Range]])+1,LEN(Table1[[#This Row],[Range]])-FIND("+",Table1[[#This Row],[Range]])-1)/100),0)</f>
        <v>11600000</v>
      </c>
      <c r="M10" s="26">
        <f>VLOOKUP(Table1[[#This Row],[FEMA ID]],'[1]PREB Report (2)'!$B$8:$W$32,20,FALSE)</f>
        <v>46600</v>
      </c>
      <c r="N10" s="27" t="s">
        <v>48</v>
      </c>
    </row>
    <row r="11" spans="1:15" ht="29.5" customHeight="1" x14ac:dyDescent="0.35">
      <c r="A11" s="1">
        <f t="shared" si="0"/>
        <v>19</v>
      </c>
      <c r="B11" s="23">
        <v>334773</v>
      </c>
      <c r="C11" s="2" t="s">
        <v>20</v>
      </c>
      <c r="D11" s="5">
        <v>40020000</v>
      </c>
      <c r="E11" s="5">
        <v>25590000</v>
      </c>
      <c r="F11" s="5"/>
      <c r="G11" s="22">
        <v>65610000</v>
      </c>
      <c r="H11" s="1">
        <v>5</v>
      </c>
      <c r="I11" s="16" t="s">
        <v>29</v>
      </c>
      <c r="J11" s="21">
        <f>Table1[[#This Row],[Total Cost]]*2</f>
        <v>131220000</v>
      </c>
      <c r="K11" s="15">
        <f>IFERROR(SUM(D11,#REF!,#REF!)*(1+MID(Table1[[#This Row],[Range]],FIND("+",Table1[[#This Row],[Range]])+1,LEN(Table1[[#This Row],[Range]])-FIND("+",Table1[[#This Row],[Range]])-1)/100),Table1[[#This Row],[Total Cost]])</f>
        <v>65610000</v>
      </c>
      <c r="L11" s="15">
        <f>IFERROR(Table1[[#This Row],[406 MIT Cost ]]*(1+MID(Table1[[#This Row],[Range]],FIND("+",Table1[[#This Row],[Range]])+1,LEN(Table1[[#This Row],[Range]])-FIND("+",Table1[[#This Row],[Range]])-1)/100),0)</f>
        <v>51180000</v>
      </c>
      <c r="M11" s="26">
        <f>VLOOKUP(Table1[[#This Row],[FEMA ID]],'[1]PREB Report (2)'!$B$8:$W$32,20,FALSE)</f>
        <v>46539</v>
      </c>
      <c r="N11" s="27" t="s">
        <v>48</v>
      </c>
    </row>
    <row r="12" spans="1:15" ht="29.5" customHeight="1" x14ac:dyDescent="0.35">
      <c r="A12" s="1">
        <f t="shared" si="0"/>
        <v>20</v>
      </c>
      <c r="B12" s="23">
        <v>334771</v>
      </c>
      <c r="C12" s="2" t="s">
        <v>21</v>
      </c>
      <c r="D12" s="20">
        <v>42161570</v>
      </c>
      <c r="E12" s="5">
        <v>0</v>
      </c>
      <c r="F12" s="5"/>
      <c r="G12" s="22">
        <v>42161570</v>
      </c>
      <c r="H12" s="1">
        <v>3</v>
      </c>
      <c r="I12" s="16" t="s">
        <v>28</v>
      </c>
      <c r="J12" s="21">
        <f>Table1[[#This Row],[Total Cost]]*1.2</f>
        <v>50593884</v>
      </c>
      <c r="K12" s="15">
        <f>IFERROR(SUM(D12,#REF!,#REF!)*(1+MID(Table1[[#This Row],[Range]],FIND("+",Table1[[#This Row],[Range]])+1,LEN(Table1[[#This Row],[Range]])-FIND("+",Table1[[#This Row],[Range]])-1)/100),Table1[[#This Row],[Total Cost]])</f>
        <v>42161570</v>
      </c>
      <c r="L12" s="15">
        <f>IFERROR(Table1[[#This Row],[406 MIT Cost ]]*(1+MID(Table1[[#This Row],[Range]],FIND("+",Table1[[#This Row],[Range]])+1,LEN(Table1[[#This Row],[Range]])-FIND("+",Table1[[#This Row],[Range]])-1)/100),0)</f>
        <v>0</v>
      </c>
      <c r="M12" s="26">
        <f>VLOOKUP(Table1[[#This Row],[FEMA ID]],'[1]PREB Report (2)'!$B$8:$W$32,20,FALSE)</f>
        <v>46926</v>
      </c>
      <c r="N12" s="27" t="s">
        <v>48</v>
      </c>
    </row>
    <row r="13" spans="1:15" ht="29.5" customHeight="1" x14ac:dyDescent="0.35">
      <c r="A13" s="1">
        <f t="shared" si="0"/>
        <v>21</v>
      </c>
      <c r="B13" s="23">
        <v>334798</v>
      </c>
      <c r="C13" s="2" t="s">
        <v>22</v>
      </c>
      <c r="D13" s="20">
        <v>3966763</v>
      </c>
      <c r="E13" s="5">
        <v>0</v>
      </c>
      <c r="F13" s="5"/>
      <c r="G13" s="22">
        <v>3966763</v>
      </c>
      <c r="H13" s="1">
        <v>3</v>
      </c>
      <c r="I13" s="16" t="s">
        <v>28</v>
      </c>
      <c r="J13" s="21">
        <f>Table1[[#This Row],[Total Cost]]*1.2</f>
        <v>4760115.5999999996</v>
      </c>
      <c r="K13" s="15">
        <f>IFERROR(SUM(D13,#REF!,#REF!)*(1+MID(Table1[[#This Row],[Range]],FIND("+",Table1[[#This Row],[Range]])+1,LEN(Table1[[#This Row],[Range]])-FIND("+",Table1[[#This Row],[Range]])-1)/100),Table1[[#This Row],[Total Cost]])</f>
        <v>3966763</v>
      </c>
      <c r="L13" s="15">
        <f>IFERROR(Table1[[#This Row],[406 MIT Cost ]]*(1+MID(Table1[[#This Row],[Range]],FIND("+",Table1[[#This Row],[Range]])+1,LEN(Table1[[#This Row],[Range]])-FIND("+",Table1[[#This Row],[Range]])-1)/100),0)</f>
        <v>0</v>
      </c>
      <c r="M13" s="26">
        <f>VLOOKUP(Table1[[#This Row],[FEMA ID]],'[1]PREB Report (2)'!$B$8:$W$32,20,FALSE)</f>
        <v>46433</v>
      </c>
      <c r="N13" s="27" t="s">
        <v>48</v>
      </c>
    </row>
    <row r="14" spans="1:15" ht="29.5" customHeight="1" x14ac:dyDescent="0.35">
      <c r="A14" s="1">
        <f t="shared" si="0"/>
        <v>22</v>
      </c>
      <c r="B14" s="23">
        <v>334769</v>
      </c>
      <c r="C14" s="2" t="s">
        <v>23</v>
      </c>
      <c r="D14" s="5">
        <v>11154286</v>
      </c>
      <c r="E14" s="5">
        <v>0</v>
      </c>
      <c r="F14" s="5"/>
      <c r="G14" s="22">
        <v>11154286</v>
      </c>
      <c r="H14" s="1">
        <v>5</v>
      </c>
      <c r="I14" s="16" t="s">
        <v>29</v>
      </c>
      <c r="J14" s="21">
        <f>Table1[[#This Row],[Total Cost]]*2</f>
        <v>22308572</v>
      </c>
      <c r="K14" s="15">
        <f>IFERROR(SUM(D14,#REF!,#REF!)*(1+MID(Table1[[#This Row],[Range]],FIND("+",Table1[[#This Row],[Range]])+1,LEN(Table1[[#This Row],[Range]])-FIND("+",Table1[[#This Row],[Range]])-1)/100),Table1[[#This Row],[Total Cost]])</f>
        <v>11154286</v>
      </c>
      <c r="L14" s="15">
        <f>IFERROR(Table1[[#This Row],[406 MIT Cost ]]*(1+MID(Table1[[#This Row],[Range]],FIND("+",Table1[[#This Row],[Range]])+1,LEN(Table1[[#This Row],[Range]])-FIND("+",Table1[[#This Row],[Range]])-1)/100),0)</f>
        <v>0</v>
      </c>
      <c r="M14" s="26">
        <f>VLOOKUP(Table1[[#This Row],[FEMA ID]],'[1]PREB Report (2)'!$B$8:$W$32,20,FALSE)</f>
        <v>46548</v>
      </c>
      <c r="N14" s="27" t="s">
        <v>48</v>
      </c>
    </row>
    <row r="15" spans="1:15" ht="29.5" customHeight="1" x14ac:dyDescent="0.35">
      <c r="A15" s="1">
        <v>9</v>
      </c>
      <c r="B15" s="24">
        <v>435769</v>
      </c>
      <c r="C15" s="2" t="s">
        <v>11</v>
      </c>
      <c r="D15" s="20">
        <f>117758206.89-28512324.97</f>
        <v>89245881.920000002</v>
      </c>
      <c r="E15" s="5">
        <v>27093224.609999999</v>
      </c>
      <c r="F15" s="5"/>
      <c r="G15" s="22">
        <v>116339106.53</v>
      </c>
      <c r="H15" s="1">
        <v>5</v>
      </c>
      <c r="I15" s="16" t="s">
        <v>29</v>
      </c>
      <c r="J15" s="21">
        <f>Table1[[#This Row],[Total Cost]]*2</f>
        <v>232678213.06</v>
      </c>
      <c r="K15" s="15">
        <f>IFERROR(SUM(D15,#REF!,#REF!)*(1+MID(Table1[[#This Row],[Range]],FIND("+",Table1[[#This Row],[Range]])+1,LEN(Table1[[#This Row],[Range]])-FIND("+",Table1[[#This Row],[Range]])-1)/100),Table1[[#This Row],[Total Cost]])</f>
        <v>116339106.53</v>
      </c>
      <c r="L15" s="15">
        <f>IFERROR(Table1[[#This Row],[406 MIT Cost ]]*(1+MID(Table1[[#This Row],[Range]],FIND("+",Table1[[#This Row],[Range]])+1,LEN(Table1[[#This Row],[Range]])-FIND("+",Table1[[#This Row],[Range]])-1)/100),0)</f>
        <v>54186449.219999999</v>
      </c>
      <c r="M15" s="26">
        <f>VLOOKUP(Table1[[#This Row],[FEMA ID]],'[1]PREB Report (2)'!$B$8:$W$32,20,FALSE)</f>
        <v>46143</v>
      </c>
      <c r="N15" s="27" t="s">
        <v>48</v>
      </c>
      <c r="O15" s="3" t="s">
        <v>34</v>
      </c>
    </row>
    <row r="16" spans="1:15" ht="29.5" customHeight="1" x14ac:dyDescent="0.35">
      <c r="A16" s="1">
        <f>A15+1</f>
        <v>10</v>
      </c>
      <c r="B16" s="23">
        <v>436462</v>
      </c>
      <c r="C16" s="2" t="s">
        <v>12</v>
      </c>
      <c r="D16" s="5">
        <v>37270276.119999997</v>
      </c>
      <c r="E16" s="5">
        <v>5302995.4000000004</v>
      </c>
      <c r="F16" s="5"/>
      <c r="G16" s="22">
        <v>42573271.519999996</v>
      </c>
      <c r="H16" s="1">
        <v>5</v>
      </c>
      <c r="I16" s="16" t="s">
        <v>29</v>
      </c>
      <c r="J16" s="21">
        <f>Table1[[#This Row],[Total Cost]]*2</f>
        <v>85146543.039999992</v>
      </c>
      <c r="K16" s="15">
        <f>IFERROR(SUM(D16,#REF!,#REF!)*(1+MID(Table1[[#This Row],[Range]],FIND("+",Table1[[#This Row],[Range]])+1,LEN(Table1[[#This Row],[Range]])-FIND("+",Table1[[#This Row],[Range]])-1)/100),Table1[[#This Row],[Total Cost]])</f>
        <v>42573271.519999996</v>
      </c>
      <c r="L16" s="15">
        <f>IFERROR(Table1[[#This Row],[406 MIT Cost ]]*(1+MID(Table1[[#This Row],[Range]],FIND("+",Table1[[#This Row],[Range]])+1,LEN(Table1[[#This Row],[Range]])-FIND("+",Table1[[#This Row],[Range]])-1)/100),0)</f>
        <v>10605990.800000001</v>
      </c>
      <c r="M16" s="26">
        <f>VLOOKUP(Table1[[#This Row],[FEMA ID]],'[1]PREB Report (2)'!$B$8:$W$32,20,FALSE)</f>
        <v>46204</v>
      </c>
      <c r="N16" s="27" t="s">
        <v>48</v>
      </c>
    </row>
    <row r="17" spans="1:15" ht="29.5" customHeight="1" x14ac:dyDescent="0.35">
      <c r="A17" s="1">
        <f>A16+1</f>
        <v>11</v>
      </c>
      <c r="B17" s="1" t="s">
        <v>43</v>
      </c>
      <c r="C17" s="2" t="s">
        <v>44</v>
      </c>
      <c r="D17" s="5"/>
      <c r="E17" s="5">
        <v>0</v>
      </c>
      <c r="F17" s="5">
        <v>17000000</v>
      </c>
      <c r="G17" s="22">
        <v>17000000</v>
      </c>
      <c r="H17" s="1">
        <v>5</v>
      </c>
      <c r="I17" s="16" t="s">
        <v>29</v>
      </c>
      <c r="J17" s="21">
        <f>Table1[[#This Row],[Total Cost]]*2</f>
        <v>34000000</v>
      </c>
      <c r="K17" s="15">
        <f>IFERROR(SUM(D17,#REF!,#REF!)*(1+MID(Table1[[#This Row],[Range]],FIND("+",Table1[[#This Row],[Range]])+1,LEN(Table1[[#This Row],[Range]])-FIND("+",Table1[[#This Row],[Range]])-1)/100),Table1[[#This Row],[Total Cost]])</f>
        <v>17000000</v>
      </c>
      <c r="L17" s="15">
        <f>Table1[[#This Row],[High End of Range]]</f>
        <v>34000000</v>
      </c>
      <c r="M17" s="26" t="s">
        <v>45</v>
      </c>
      <c r="N17" s="27" t="s">
        <v>50</v>
      </c>
      <c r="O17" s="3" t="s">
        <v>35</v>
      </c>
    </row>
    <row r="18" spans="1:15" ht="29.5" customHeight="1" x14ac:dyDescent="0.35">
      <c r="A18" s="1">
        <v>7</v>
      </c>
      <c r="B18" s="23">
        <v>721184</v>
      </c>
      <c r="C18" s="2" t="s">
        <v>9</v>
      </c>
      <c r="D18" s="5">
        <v>163467420</v>
      </c>
      <c r="E18" s="5">
        <v>156302821</v>
      </c>
      <c r="F18" s="5"/>
      <c r="G18" s="22">
        <v>319770241</v>
      </c>
      <c r="H18" s="1">
        <v>5</v>
      </c>
      <c r="I18" s="16" t="s">
        <v>29</v>
      </c>
      <c r="J18" s="21">
        <f>Table1[[#This Row],[Total Cost]]*2</f>
        <v>639540482</v>
      </c>
      <c r="K18" s="15">
        <f>IFERROR(SUM(D18,#REF!,#REF!)*(1+MID(Table1[[#This Row],[Range]],FIND("+",Table1[[#This Row],[Range]])+1,LEN(Table1[[#This Row],[Range]])-FIND("+",Table1[[#This Row],[Range]])-1)/100),Table1[[#This Row],[Total Cost]])</f>
        <v>319770241</v>
      </c>
      <c r="L18" s="15">
        <f>IFERROR(Table1[[#This Row],[406 MIT Cost ]]*(1+MID(Table1[[#This Row],[Range]],FIND("+",Table1[[#This Row],[Range]])+1,LEN(Table1[[#This Row],[Range]])-FIND("+",Table1[[#This Row],[Range]])-1)/100),0)</f>
        <v>312605642</v>
      </c>
      <c r="M18" s="26">
        <f>VLOOKUP(Table1[[#This Row],[FEMA ID]],'[1]PREB Report (2)'!$B$8:$W$32,20,FALSE)</f>
        <v>47818</v>
      </c>
      <c r="N18" s="27" t="s">
        <v>45</v>
      </c>
    </row>
    <row r="19" spans="1:15" ht="29.5" customHeight="1" x14ac:dyDescent="0.35">
      <c r="A19" s="1">
        <v>8</v>
      </c>
      <c r="B19" s="23">
        <v>728260</v>
      </c>
      <c r="C19" s="2" t="s">
        <v>10</v>
      </c>
      <c r="D19" s="5">
        <v>3611152</v>
      </c>
      <c r="E19" s="5">
        <v>0</v>
      </c>
      <c r="F19" s="5"/>
      <c r="G19" s="22">
        <v>3611152</v>
      </c>
      <c r="H19" s="1">
        <v>5</v>
      </c>
      <c r="I19" s="16" t="s">
        <v>29</v>
      </c>
      <c r="J19" s="21">
        <f>Table1[[#This Row],[Total Cost]]*2</f>
        <v>7222304</v>
      </c>
      <c r="K19" s="15">
        <f>IFERROR(SUM(D19,#REF!,#REF!)*(1+MID(Table1[[#This Row],[Range]],FIND("+",Table1[[#This Row],[Range]])+1,LEN(Table1[[#This Row],[Range]])-FIND("+",Table1[[#This Row],[Range]])-1)/100),Table1[[#This Row],[Total Cost]])</f>
        <v>3611152</v>
      </c>
      <c r="L19" s="15">
        <f>IFERROR(Table1[[#This Row],[406 MIT Cost ]]*(1+MID(Table1[[#This Row],[Range]],FIND("+",Table1[[#This Row],[Range]])+1,LEN(Table1[[#This Row],[Range]])-FIND("+",Table1[[#This Row],[Range]])-1)/100),0)</f>
        <v>0</v>
      </c>
      <c r="M19" s="26">
        <f>VLOOKUP(Table1[[#This Row],[FEMA ID]],'[1]PREB Report (2)'!$B$8:$W$32,20,FALSE)</f>
        <v>46477</v>
      </c>
      <c r="N19" s="27" t="s">
        <v>48</v>
      </c>
    </row>
    <row r="20" spans="1:15" ht="29.5" customHeight="1" x14ac:dyDescent="0.35">
      <c r="A20" s="1">
        <v>3</v>
      </c>
      <c r="B20" s="23">
        <v>180723</v>
      </c>
      <c r="C20" s="2" t="s">
        <v>5</v>
      </c>
      <c r="D20" s="5">
        <v>22911551</v>
      </c>
      <c r="E20" s="5">
        <v>26094024.550000001</v>
      </c>
      <c r="F20" s="5"/>
      <c r="G20" s="22">
        <v>49005575.549999997</v>
      </c>
      <c r="H20" s="1">
        <v>5</v>
      </c>
      <c r="I20" s="16" t="s">
        <v>29</v>
      </c>
      <c r="J20" s="21">
        <f>Table1[[#This Row],[Total Cost]]*2</f>
        <v>98011151.099999994</v>
      </c>
      <c r="K20" s="15">
        <f>IFERROR(SUM(D20,#REF!,#REF!)*(1+MID(Table1[[#This Row],[Range]],FIND("+",Table1[[#This Row],[Range]])+1,LEN(Table1[[#This Row],[Range]])-FIND("+",Table1[[#This Row],[Range]])-1)/100),Table1[[#This Row],[Total Cost]])</f>
        <v>49005575.549999997</v>
      </c>
      <c r="L20" s="15">
        <f>IFERROR(Table1[[#This Row],[406 MIT Cost ]]*(1+MID(Table1[[#This Row],[Range]],FIND("+",Table1[[#This Row],[Range]])+1,LEN(Table1[[#This Row],[Range]])-FIND("+",Table1[[#This Row],[Range]])-1)/100),0)</f>
        <v>52188049.100000001</v>
      </c>
      <c r="M20" s="26">
        <f>VLOOKUP(Table1[[#This Row],[FEMA ID]],'[1]PREB Report (2)'!$B$8:$W$32,20,FALSE)</f>
        <v>46295</v>
      </c>
      <c r="N20" s="27" t="s">
        <v>48</v>
      </c>
    </row>
    <row r="21" spans="1:15" ht="29.5" customHeight="1" x14ac:dyDescent="0.35">
      <c r="A21" s="1">
        <v>4</v>
      </c>
      <c r="B21" s="23">
        <v>436468</v>
      </c>
      <c r="C21" s="2" t="s">
        <v>6</v>
      </c>
      <c r="D21" s="5">
        <v>43483764.170000002</v>
      </c>
      <c r="E21" s="5">
        <v>13760297.539999999</v>
      </c>
      <c r="F21" s="5"/>
      <c r="G21" s="22">
        <v>57244061.710000001</v>
      </c>
      <c r="H21" s="1">
        <v>5</v>
      </c>
      <c r="I21" s="16" t="s">
        <v>29</v>
      </c>
      <c r="J21" s="21">
        <f>Table1[[#This Row],[Total Cost]]*2</f>
        <v>114488123.42</v>
      </c>
      <c r="K21" s="15">
        <f>IFERROR(SUM(D21,#REF!,#REF!)*(1+MID(Table1[[#This Row],[Range]],FIND("+",Table1[[#This Row],[Range]])+1,LEN(Table1[[#This Row],[Range]])-FIND("+",Table1[[#This Row],[Range]])-1)/100),Table1[[#This Row],[Total Cost]])</f>
        <v>57244061.710000001</v>
      </c>
      <c r="L21" s="15">
        <f>IFERROR(Table1[[#This Row],[406 MIT Cost ]]*(1+MID(Table1[[#This Row],[Range]],FIND("+",Table1[[#This Row],[Range]])+1,LEN(Table1[[#This Row],[Range]])-FIND("+",Table1[[#This Row],[Range]])-1)/100),0)</f>
        <v>27520595.079999998</v>
      </c>
      <c r="M21" s="26">
        <f>VLOOKUP(Table1[[#This Row],[FEMA ID]],'[1]PREB Report (2)'!$B$8:$W$32,20,FALSE)</f>
        <v>46295</v>
      </c>
      <c r="N21" s="27" t="s">
        <v>48</v>
      </c>
    </row>
    <row r="22" spans="1:15" ht="29.5" customHeight="1" x14ac:dyDescent="0.35">
      <c r="A22" s="1" t="e">
        <f>#REF!+1</f>
        <v>#REF!</v>
      </c>
      <c r="B22" s="25">
        <v>746897</v>
      </c>
      <c r="C22" s="2" t="s">
        <v>24</v>
      </c>
      <c r="D22" s="5">
        <v>1562350</v>
      </c>
      <c r="E22" s="5">
        <v>178320.9</v>
      </c>
      <c r="F22" s="5"/>
      <c r="G22" s="22">
        <v>1740670.9</v>
      </c>
      <c r="H22" s="1">
        <v>1</v>
      </c>
      <c r="I22" s="16" t="s">
        <v>31</v>
      </c>
      <c r="J22" s="21">
        <f>Table1[[#This Row],[Total Cost]]*1.03</f>
        <v>1792891.027</v>
      </c>
      <c r="K22" s="15">
        <f>IFERROR(SUM(D22,#REF!,#REF!)*(1+MID(Table1[[#This Row],[Range]],FIND("+",Table1[[#This Row],[Range]])+1,LEN(Table1[[#This Row],[Range]])-FIND("+",Table1[[#This Row],[Range]])-1)/100),Table1[[#This Row],[Total Cost]])</f>
        <v>1740670.9</v>
      </c>
      <c r="L22" s="15">
        <f>IFERROR(Table1[[#This Row],[406 MIT Cost ]]*(1+MID(Table1[[#This Row],[Range]],FIND("+",Table1[[#This Row],[Range]])+1,LEN(Table1[[#This Row],[Range]])-FIND("+",Table1[[#This Row],[Range]])-1)/100),0)</f>
        <v>183670.527</v>
      </c>
      <c r="M22" s="26" t="s">
        <v>46</v>
      </c>
      <c r="N22" s="27" t="s">
        <v>51</v>
      </c>
    </row>
    <row r="23" spans="1:15" ht="29.5" customHeight="1" x14ac:dyDescent="0.35">
      <c r="A23" s="1" t="e">
        <f t="shared" si="0"/>
        <v>#REF!</v>
      </c>
      <c r="B23" s="23">
        <v>725535</v>
      </c>
      <c r="C23" s="2" t="s">
        <v>25</v>
      </c>
      <c r="D23" s="5">
        <v>11423825</v>
      </c>
      <c r="E23" s="5">
        <v>0</v>
      </c>
      <c r="F23" s="5"/>
      <c r="G23" s="22">
        <v>11423825</v>
      </c>
      <c r="H23" s="1">
        <v>5</v>
      </c>
      <c r="I23" s="18" t="s">
        <v>32</v>
      </c>
      <c r="J23" s="21">
        <f>Table1[[#This Row],[Total Cost]]*1</f>
        <v>11423825</v>
      </c>
      <c r="K23" s="15">
        <f>IFERROR(SUM(D23,#REF!,#REF!)*(1+MID(Table1[[#This Row],[Range]],FIND("+",Table1[[#This Row],[Range]])+1,LEN(Table1[[#This Row],[Range]])-FIND("+",Table1[[#This Row],[Range]])-1)/100),Table1[[#This Row],[Total Cost]])</f>
        <v>11423825</v>
      </c>
      <c r="L23" s="15">
        <f>IFERROR(Table1[[#This Row],[406 MIT Cost ]]*(1+MID(Table1[[#This Row],[Range]],FIND("+",Table1[[#This Row],[Range]])+1,LEN(Table1[[#This Row],[Range]])-FIND("+",Table1[[#This Row],[Range]])-1)/100),0)</f>
        <v>0</v>
      </c>
      <c r="M23" s="27" t="s">
        <v>49</v>
      </c>
      <c r="N23" s="27" t="s">
        <v>49</v>
      </c>
    </row>
    <row r="24" spans="1:15" x14ac:dyDescent="0.35">
      <c r="K24" s="15"/>
      <c r="L24" s="15"/>
      <c r="M24" s="15"/>
      <c r="N24" s="15"/>
    </row>
    <row r="25" spans="1:15" x14ac:dyDescent="0.35">
      <c r="C25" s="19" t="s">
        <v>33</v>
      </c>
      <c r="D25" s="17">
        <f>SUM(D3:D23)</f>
        <v>753186777.70999992</v>
      </c>
      <c r="E25" s="17">
        <f>SUM(E3:E23)</f>
        <v>303099747.48000002</v>
      </c>
      <c r="F25" s="17"/>
      <c r="G25" s="17">
        <f>SUM(G3:G23)</f>
        <v>1073286525.1899999</v>
      </c>
      <c r="J25" s="17">
        <f>SUM(J3:J23)</f>
        <v>1928195746.207</v>
      </c>
      <c r="K25" s="17">
        <f>SUM(K3:K23)</f>
        <v>1073286525.1899999</v>
      </c>
      <c r="L25" s="22">
        <f>SUM(L3:L23)</f>
        <v>640026523.68700004</v>
      </c>
      <c r="M25" s="22"/>
      <c r="N25" s="22"/>
    </row>
    <row r="26" spans="1:15" x14ac:dyDescent="0.35">
      <c r="C26" s="3"/>
      <c r="D26" s="3"/>
      <c r="E26" s="3"/>
      <c r="G26" s="11"/>
    </row>
    <row r="27" spans="1:15" x14ac:dyDescent="0.35">
      <c r="A27" s="3" t="s">
        <v>38</v>
      </c>
      <c r="C27" s="3"/>
      <c r="D27" s="3"/>
      <c r="E27" s="3"/>
      <c r="G27" s="11"/>
    </row>
    <row r="28" spans="1:15" x14ac:dyDescent="0.35">
      <c r="C28" s="3"/>
      <c r="D28" s="3"/>
      <c r="E28" s="3"/>
      <c r="G28" s="11"/>
    </row>
    <row r="29" spans="1:15" x14ac:dyDescent="0.35">
      <c r="C29" s="3"/>
      <c r="D29" s="3"/>
      <c r="E29" s="3"/>
      <c r="G29" s="11"/>
    </row>
    <row r="30" spans="1:15" x14ac:dyDescent="0.35">
      <c r="C30" s="3"/>
      <c r="D30" s="3"/>
      <c r="E30" s="3"/>
      <c r="G30" s="11"/>
    </row>
    <row r="31" spans="1:15" x14ac:dyDescent="0.35">
      <c r="C31" s="3"/>
      <c r="D31" s="3"/>
      <c r="E31" s="3"/>
      <c r="G31" s="11"/>
    </row>
    <row r="32" spans="1:15" x14ac:dyDescent="0.35">
      <c r="C32" s="3"/>
      <c r="D32" s="3"/>
      <c r="E32" s="3"/>
      <c r="G32" s="11"/>
    </row>
    <row r="33" spans="3:7" x14ac:dyDescent="0.35">
      <c r="C33" s="3"/>
      <c r="D33" s="3"/>
      <c r="E33" s="3"/>
      <c r="G33" s="11"/>
    </row>
    <row r="34" spans="3:7" x14ac:dyDescent="0.35">
      <c r="C34" s="3"/>
      <c r="D34" s="3"/>
      <c r="E34" s="3"/>
      <c r="G34" s="11"/>
    </row>
    <row r="35" spans="3:7" x14ac:dyDescent="0.35">
      <c r="C35" s="3"/>
      <c r="D35" s="3"/>
      <c r="E35" s="3"/>
      <c r="G35" s="11"/>
    </row>
    <row r="36" spans="3:7" x14ac:dyDescent="0.35">
      <c r="C36" s="3"/>
      <c r="D36" s="3"/>
      <c r="E36" s="3"/>
      <c r="G36" s="11"/>
    </row>
    <row r="37" spans="3:7" x14ac:dyDescent="0.35">
      <c r="C37" s="3"/>
      <c r="D37" s="3"/>
      <c r="E37" s="3"/>
      <c r="G37" s="11"/>
    </row>
    <row r="38" spans="3:7" x14ac:dyDescent="0.35">
      <c r="C38" s="3"/>
      <c r="D38" s="3"/>
      <c r="E38" s="3"/>
      <c r="G38" s="11"/>
    </row>
    <row r="39" spans="3:7" x14ac:dyDescent="0.35">
      <c r="C39" s="3"/>
      <c r="D39" s="3"/>
      <c r="E39" s="3"/>
      <c r="G39" s="11"/>
    </row>
    <row r="40" spans="3:7" x14ac:dyDescent="0.35">
      <c r="C40" s="3"/>
      <c r="D40" s="3"/>
      <c r="E40" s="3"/>
      <c r="G40" s="11"/>
    </row>
    <row r="41" spans="3:7" x14ac:dyDescent="0.35">
      <c r="C41" s="3"/>
      <c r="D41" s="3"/>
      <c r="E41" s="3"/>
      <c r="G41" s="11"/>
    </row>
    <row r="42" spans="3:7" x14ac:dyDescent="0.35">
      <c r="C42" s="3"/>
      <c r="D42" s="3"/>
      <c r="E42" s="3"/>
      <c r="G42" s="11"/>
    </row>
    <row r="43" spans="3:7" x14ac:dyDescent="0.35">
      <c r="C43" s="3"/>
      <c r="D43" s="3"/>
      <c r="E43" s="3"/>
      <c r="G43" s="11"/>
    </row>
    <row r="44" spans="3:7" x14ac:dyDescent="0.35">
      <c r="C44" s="3"/>
      <c r="D44" s="3"/>
      <c r="E44" s="3"/>
      <c r="G44" s="11"/>
    </row>
    <row r="45" spans="3:7" x14ac:dyDescent="0.35">
      <c r="C45" s="3"/>
      <c r="D45" s="3"/>
      <c r="E45" s="3"/>
      <c r="G45" s="11"/>
    </row>
    <row r="46" spans="3:7" x14ac:dyDescent="0.35">
      <c r="C46" s="3"/>
      <c r="D46" s="3"/>
      <c r="E46" s="3"/>
      <c r="G46" s="11"/>
    </row>
    <row r="47" spans="3:7" x14ac:dyDescent="0.35">
      <c r="C47" s="3"/>
      <c r="D47" s="3"/>
      <c r="E47" s="3"/>
      <c r="G47" s="11"/>
    </row>
    <row r="48" spans="3:7" x14ac:dyDescent="0.35">
      <c r="C48" s="3"/>
      <c r="D48" s="3"/>
      <c r="E48" s="3"/>
      <c r="G48" s="11"/>
    </row>
    <row r="49" spans="3:7" x14ac:dyDescent="0.35">
      <c r="C49" s="3"/>
      <c r="D49" s="3"/>
      <c r="E49" s="3"/>
      <c r="G49" s="11"/>
    </row>
    <row r="50" spans="3:7" x14ac:dyDescent="0.35">
      <c r="C50" s="3"/>
      <c r="D50" s="3"/>
      <c r="E50" s="3"/>
      <c r="G50" s="11"/>
    </row>
    <row r="51" spans="3:7" x14ac:dyDescent="0.35">
      <c r="C51" s="3"/>
      <c r="D51" s="3"/>
      <c r="E51" s="3"/>
      <c r="G51" s="11"/>
    </row>
    <row r="52" spans="3:7" x14ac:dyDescent="0.35">
      <c r="C52" s="3"/>
      <c r="D52" s="3"/>
      <c r="E52" s="3"/>
      <c r="G52" s="11"/>
    </row>
    <row r="53" spans="3:7" x14ac:dyDescent="0.35">
      <c r="C53" s="3"/>
      <c r="D53" s="3"/>
      <c r="E53" s="3"/>
      <c r="G53" s="11"/>
    </row>
    <row r="54" spans="3:7" x14ac:dyDescent="0.35">
      <c r="C54" s="3"/>
      <c r="D54" s="3"/>
      <c r="E54" s="3"/>
      <c r="G54" s="11"/>
    </row>
    <row r="55" spans="3:7" x14ac:dyDescent="0.35">
      <c r="C55" s="3"/>
      <c r="D55" s="3"/>
      <c r="E55" s="3"/>
      <c r="G55" s="11"/>
    </row>
    <row r="56" spans="3:7" x14ac:dyDescent="0.35">
      <c r="C56" s="3"/>
      <c r="D56" s="3"/>
      <c r="E56" s="3"/>
    </row>
    <row r="57" spans="3:7" x14ac:dyDescent="0.35">
      <c r="C57" s="3"/>
      <c r="D57" s="3"/>
      <c r="E57" s="3"/>
    </row>
    <row r="58" spans="3:7" x14ac:dyDescent="0.35">
      <c r="C58" s="3"/>
      <c r="D58" s="3"/>
      <c r="E58" s="3"/>
    </row>
    <row r="59" spans="3:7" x14ac:dyDescent="0.35">
      <c r="C59" s="3"/>
      <c r="D59" s="3"/>
      <c r="E59" s="3"/>
    </row>
    <row r="60" spans="3:7" x14ac:dyDescent="0.35">
      <c r="C60" s="3"/>
      <c r="D60" s="3"/>
      <c r="E60" s="3"/>
    </row>
    <row r="61" spans="3:7" x14ac:dyDescent="0.35">
      <c r="C61" s="3"/>
      <c r="D61" s="3"/>
      <c r="E61" s="3"/>
    </row>
    <row r="62" spans="3:7" x14ac:dyDescent="0.35">
      <c r="C62" s="3"/>
      <c r="D62" s="3"/>
      <c r="E62" s="3"/>
    </row>
    <row r="63" spans="3:7" x14ac:dyDescent="0.35">
      <c r="C63" s="3"/>
      <c r="D63" s="3"/>
      <c r="E63" s="3"/>
    </row>
    <row r="64" spans="3:7" x14ac:dyDescent="0.35">
      <c r="C64" s="3"/>
      <c r="D64" s="3"/>
      <c r="E64" s="3"/>
    </row>
    <row r="65" spans="3:5" x14ac:dyDescent="0.35">
      <c r="C65" s="3"/>
      <c r="D65" s="3"/>
      <c r="E65" s="3"/>
    </row>
    <row r="66" spans="3:5" x14ac:dyDescent="0.35">
      <c r="C66" s="3"/>
      <c r="D66" s="3"/>
      <c r="E66" s="3"/>
    </row>
    <row r="67" spans="3:5" x14ac:dyDescent="0.35">
      <c r="C67" s="3"/>
      <c r="D67" s="3"/>
      <c r="E67" s="3"/>
    </row>
    <row r="68" spans="3:5" x14ac:dyDescent="0.35">
      <c r="C68" s="3"/>
      <c r="D68" s="3"/>
      <c r="E68" s="3"/>
    </row>
    <row r="69" spans="3:5" x14ac:dyDescent="0.35">
      <c r="C69" s="3"/>
      <c r="D69" s="3"/>
      <c r="E69" s="3"/>
    </row>
    <row r="70" spans="3:5" x14ac:dyDescent="0.35">
      <c r="C70" s="3"/>
      <c r="D70" s="3"/>
      <c r="E70" s="3"/>
    </row>
    <row r="71" spans="3:5" x14ac:dyDescent="0.35">
      <c r="C71" s="3"/>
      <c r="D71" s="3"/>
      <c r="E71" s="3"/>
    </row>
    <row r="72" spans="3:5" x14ac:dyDescent="0.35">
      <c r="C72" s="3"/>
      <c r="D72" s="3"/>
      <c r="E72" s="3"/>
    </row>
    <row r="73" spans="3:5" x14ac:dyDescent="0.35">
      <c r="C73" s="3"/>
      <c r="D73" s="3"/>
      <c r="E73" s="3"/>
    </row>
  </sheetData>
  <phoneticPr fontId="3" type="noConversion"/>
  <pageMargins left="0.7" right="0.7" top="0.75" bottom="0.75" header="0.3" footer="0.3"/>
  <pageSetup scale="10" fitToWidth="0" fitToHeight="0"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3358C-8389-3B42-A08E-95A56E3791FE}">
  <dimension ref="A1"/>
  <sheetViews>
    <sheetView workbookViewId="0">
      <selection activeCell="H47" sqref="H47"/>
    </sheetView>
  </sheetViews>
  <sheetFormatPr defaultColWidth="10.9062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44BD26F0B76E4181C89CDE5A9AA1C2" ma:contentTypeVersion="15" ma:contentTypeDescription="Create a new document." ma:contentTypeScope="" ma:versionID="2f3c12ff79ec3bf5b6c1897cd8f2c80f">
  <xsd:schema xmlns:xsd="http://www.w3.org/2001/XMLSchema" xmlns:xs="http://www.w3.org/2001/XMLSchema" xmlns:p="http://schemas.microsoft.com/office/2006/metadata/properties" xmlns:ns2="b4a1cc2a-5376-4747-b5d6-2565327ccdf3" xmlns:ns3="272b0652-4cff-4cb8-9bed-edb7ffae6354" targetNamespace="http://schemas.microsoft.com/office/2006/metadata/properties" ma:root="true" ma:fieldsID="d5796c1f6062ef4c8b96b0353169db99" ns2:_="" ns3:_="">
    <xsd:import namespace="b4a1cc2a-5376-4747-b5d6-2565327ccdf3"/>
    <xsd:import namespace="272b0652-4cff-4cb8-9bed-edb7ffae63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1cc2a-5376-4747-b5d6-2565327ccd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3f3af39-d38c-4793-825a-06b78de225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2b0652-4cff-4cb8-9bed-edb7ffae63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371b464-2aee-4cb5-9f02-edd991040c33}" ma:internalName="TaxCatchAll" ma:showField="CatchAllData" ma:web="272b0652-4cff-4cb8-9bed-edb7ffae63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a1cc2a-5376-4747-b5d6-2565327ccdf3">
      <Terms xmlns="http://schemas.microsoft.com/office/infopath/2007/PartnerControls"/>
    </lcf76f155ced4ddcb4097134ff3c332f>
    <TaxCatchAll xmlns="272b0652-4cff-4cb8-9bed-edb7ffae63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ACBD76-DF30-4761-94EB-EBAABAAA6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a1cc2a-5376-4747-b5d6-2565327ccdf3"/>
    <ds:schemaRef ds:uri="272b0652-4cff-4cb8-9bed-edb7ffae63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27F21F-4010-4F7F-9D98-A7AE6CE902D4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b4a1cc2a-5376-4747-b5d6-2565327ccdf3"/>
    <ds:schemaRef ds:uri="http://www.w3.org/XML/1998/namespace"/>
    <ds:schemaRef ds:uri="http://purl.org/dc/dcmitype/"/>
    <ds:schemaRef ds:uri="http://schemas.openxmlformats.org/package/2006/metadata/core-properties"/>
    <ds:schemaRef ds:uri="272b0652-4cff-4cb8-9bed-edb7ffae6354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08B13A8-1E7C-4060-A6B2-BB827EB3E2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Projects</vt:lpstr>
      <vt:lpstr>Cost</vt:lpstr>
      <vt:lpstr>Sheet1</vt:lpstr>
      <vt:lpstr>Cost!Print_Area</vt:lpstr>
      <vt:lpstr>Projects!Print_Area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Bandish, Amber</dc:creator>
  <cp:lastModifiedBy>Lcda. Natalia Zayas Godoy</cp:lastModifiedBy>
  <dcterms:created xsi:type="dcterms:W3CDTF">2026-02-09T16:44:21Z</dcterms:created>
  <dcterms:modified xsi:type="dcterms:W3CDTF">2026-02-25T17:18:37Z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0x0101006744BD26F0B76E4181C89CDE5A9AA1C2</vt:lpwstr>
  </property>
  <property fmtid="{D5CDD505-2E9C-101B-9397-08002B2CF9AE}" pid="3" name="MediaServiceImageTags">
    <vt:lpwstr/>
  </property>
</Properties>
</file>